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Olga</author>
  </authors>
  <commentList>
    <comment ref="E2" authorId="0">
      <text>
        <r>
          <rPr>
            <b/>
            <sz val="8"/>
            <rFont val="Tahoma"/>
            <family val="0"/>
          </rPr>
          <t>Olga: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Olga: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<sst xmlns="http://schemas.openxmlformats.org/spreadsheetml/2006/main" count="61" uniqueCount="31">
  <si>
    <t xml:space="preserve">  Основные показатели финансово-хозяйственной деятельности управляющей организации ООО УК"Коммунсервис" 2014год-2015год</t>
  </si>
  <si>
    <t>Адрес
 МКД</t>
  </si>
  <si>
    <t>Площадь
жилого и нежилого помещения</t>
  </si>
  <si>
    <t>Тариф
(на 1 м. кв.)</t>
  </si>
  <si>
    <t>Объем сбора платежей       с 01.09.14 по 31.12.2015
(планируемый, в целом по МКД)</t>
  </si>
  <si>
    <t>Объем сбора платежей, фактический ( в целом по МКД)</t>
  </si>
  <si>
    <t>оплачено жильцами</t>
  </si>
  <si>
    <t>всего затрат по дому фактических</t>
  </si>
  <si>
    <t xml:space="preserve">Сальдо по текущему ремонту на конец 31.07.2015 год                                                                                          </t>
  </si>
  <si>
    <t xml:space="preserve">Сальдо по текущему ремонту на конец 01.09.2014 год                                                                                          </t>
  </si>
  <si>
    <t>Сумма задолженности или переплаты по жилищной услуге      гр14-гр10</t>
  </si>
  <si>
    <t>Всего на текущий ремонт на конец периода гр19-гр20</t>
  </si>
  <si>
    <t>улица</t>
  </si>
  <si>
    <t>№ дома</t>
  </si>
  <si>
    <t>содержание МКД</t>
  </si>
  <si>
    <t>текущий ремонт 
МКД</t>
  </si>
  <si>
    <t>управление
 МКД</t>
  </si>
  <si>
    <t>Итого</t>
  </si>
  <si>
    <t>итого гр.8+гр.9+гр.10</t>
  </si>
  <si>
    <t xml:space="preserve">итого     </t>
  </si>
  <si>
    <t>%</t>
  </si>
  <si>
    <t>текущий ремонт списано в содержание</t>
  </si>
  <si>
    <t xml:space="preserve">% </t>
  </si>
  <si>
    <t>управление с тек. Ремонта</t>
  </si>
  <si>
    <t>произведен текущий ремонт 
МКД</t>
  </si>
  <si>
    <t>итого</t>
  </si>
  <si>
    <t>Кочетатская</t>
  </si>
  <si>
    <t>Октябрьская</t>
  </si>
  <si>
    <t>Пионерская</t>
  </si>
  <si>
    <t>Советская</t>
  </si>
  <si>
    <t>Щетинкина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</si>
</sst>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8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80" fontId="7" fillId="0" borderId="3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5" fillId="0" borderId="7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C125"/>
  <sheetViews>
    <sheetView tabSelected="1" workbookViewId="0" topLeftCell="D1">
      <selection activeCell="J16" sqref="J16"/>
    </sheetView>
  </sheetViews>
  <sheetFormatPr defaultColWidth="9.140625" defaultRowHeight="12.75"/>
  <cols>
    <col min="1" max="1" width="1.28515625" style="1" hidden="1" customWidth="1"/>
    <col min="2" max="3" width="9.140625" style="1" hidden="1" customWidth="1"/>
    <col min="4" max="4" width="3.8515625" style="1" customWidth="1"/>
    <col min="5" max="5" width="13.421875" style="1" customWidth="1"/>
    <col min="6" max="6" width="6.421875" style="1" customWidth="1"/>
    <col min="7" max="7" width="7.140625" style="1" customWidth="1"/>
    <col min="8" max="8" width="9.8515625" style="38" hidden="1" customWidth="1"/>
    <col min="9" max="9" width="7.7109375" style="1" customWidth="1"/>
    <col min="10" max="10" width="8.7109375" style="1" customWidth="1"/>
    <col min="11" max="11" width="7.28125" style="1" customWidth="1"/>
    <col min="12" max="12" width="6.421875" style="1" customWidth="1"/>
    <col min="13" max="14" width="11.28125" style="1" customWidth="1"/>
    <col min="15" max="15" width="11.57421875" style="1" customWidth="1"/>
    <col min="16" max="16" width="13.57421875" style="1" customWidth="1"/>
    <col min="17" max="17" width="11.7109375" style="1" customWidth="1"/>
    <col min="18" max="18" width="11.00390625" style="1" customWidth="1"/>
    <col min="19" max="19" width="10.421875" style="1" customWidth="1"/>
    <col min="20" max="20" width="12.140625" style="1" customWidth="1"/>
    <col min="21" max="21" width="11.7109375" style="1" customWidth="1"/>
    <col min="22" max="22" width="11.421875" style="1" customWidth="1"/>
    <col min="23" max="23" width="8.421875" style="1" hidden="1" customWidth="1"/>
    <col min="24" max="24" width="9.57421875" style="1" hidden="1" customWidth="1"/>
    <col min="25" max="28" width="11.7109375" style="1" hidden="1" customWidth="1"/>
    <col min="29" max="29" width="10.140625" style="1" customWidth="1"/>
    <col min="30" max="30" width="10.28125" style="1" customWidth="1"/>
    <col min="31" max="31" width="12.421875" style="1" customWidth="1"/>
    <col min="32" max="32" width="11.7109375" style="1" hidden="1" customWidth="1"/>
    <col min="33" max="33" width="13.421875" style="1" customWidth="1"/>
    <col min="34" max="34" width="15.28125" style="1" customWidth="1"/>
    <col min="35" max="16384" width="9.140625" style="1" customWidth="1"/>
  </cols>
  <sheetData>
    <row r="1" spans="5:55" ht="18" customHeight="1">
      <c r="E1" s="2"/>
      <c r="F1" s="2"/>
      <c r="G1" s="2"/>
      <c r="H1" s="3"/>
      <c r="I1" s="2"/>
      <c r="J1" s="2"/>
      <c r="K1" s="2"/>
      <c r="L1" s="2"/>
      <c r="M1" s="46"/>
      <c r="N1" s="46"/>
      <c r="O1" s="46"/>
      <c r="P1" s="46"/>
      <c r="Q1" s="46"/>
      <c r="R1" s="4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5:47" ht="21.75" customHeight="1">
      <c r="E2" s="46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5:55" ht="14.25" customHeight="1">
      <c r="E3" s="47" t="s">
        <v>1</v>
      </c>
      <c r="F3" s="48"/>
      <c r="G3" s="51" t="s">
        <v>2</v>
      </c>
      <c r="H3" s="54" t="s">
        <v>2</v>
      </c>
      <c r="I3" s="47" t="s">
        <v>3</v>
      </c>
      <c r="J3" s="57"/>
      <c r="K3" s="57"/>
      <c r="L3" s="48"/>
      <c r="M3" s="47" t="s">
        <v>4</v>
      </c>
      <c r="N3" s="57"/>
      <c r="O3" s="57"/>
      <c r="P3" s="48"/>
      <c r="Q3" s="26" t="s">
        <v>5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5:55" ht="14.25" customHeight="1">
      <c r="E4" s="49"/>
      <c r="F4" s="50"/>
      <c r="G4" s="52"/>
      <c r="H4" s="55"/>
      <c r="I4" s="49"/>
      <c r="J4" s="58"/>
      <c r="K4" s="58"/>
      <c r="L4" s="50"/>
      <c r="M4" s="49"/>
      <c r="N4" s="58"/>
      <c r="O4" s="58"/>
      <c r="P4" s="50"/>
      <c r="Q4" s="43" t="s">
        <v>6</v>
      </c>
      <c r="R4" s="59"/>
      <c r="S4" s="59"/>
      <c r="T4" s="60"/>
      <c r="U4" s="43" t="s">
        <v>7</v>
      </c>
      <c r="V4" s="59"/>
      <c r="W4" s="59"/>
      <c r="X4" s="59"/>
      <c r="Y4" s="59"/>
      <c r="Z4" s="59"/>
      <c r="AA4" s="59"/>
      <c r="AB4" s="59"/>
      <c r="AC4" s="59"/>
      <c r="AD4" s="6"/>
      <c r="AE4" s="43" t="s">
        <v>8</v>
      </c>
      <c r="AF4" s="43" t="s">
        <v>9</v>
      </c>
      <c r="AG4" s="44" t="s">
        <v>10</v>
      </c>
      <c r="AH4" s="44" t="s">
        <v>11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5:55" ht="85.5" customHeight="1">
      <c r="E5" s="7" t="s">
        <v>12</v>
      </c>
      <c r="F5" s="7" t="s">
        <v>13</v>
      </c>
      <c r="G5" s="53"/>
      <c r="H5" s="56"/>
      <c r="I5" s="8" t="s">
        <v>14</v>
      </c>
      <c r="J5" s="8" t="s">
        <v>15</v>
      </c>
      <c r="K5" s="8" t="s">
        <v>16</v>
      </c>
      <c r="L5" s="8" t="s">
        <v>17</v>
      </c>
      <c r="M5" s="8" t="s">
        <v>14</v>
      </c>
      <c r="N5" s="8" t="s">
        <v>15</v>
      </c>
      <c r="O5" s="8" t="s">
        <v>16</v>
      </c>
      <c r="P5" s="8" t="s">
        <v>18</v>
      </c>
      <c r="Q5" s="8" t="s">
        <v>14</v>
      </c>
      <c r="R5" s="8" t="s">
        <v>15</v>
      </c>
      <c r="S5" s="8" t="s">
        <v>16</v>
      </c>
      <c r="T5" s="8" t="s">
        <v>19</v>
      </c>
      <c r="U5" s="8" t="s">
        <v>14</v>
      </c>
      <c r="V5" s="8" t="s">
        <v>15</v>
      </c>
      <c r="W5" s="8" t="s">
        <v>20</v>
      </c>
      <c r="X5" s="8" t="s">
        <v>21</v>
      </c>
      <c r="Y5" s="8"/>
      <c r="Z5" s="8" t="s">
        <v>22</v>
      </c>
      <c r="AA5" s="8" t="s">
        <v>23</v>
      </c>
      <c r="AB5" s="8" t="s">
        <v>24</v>
      </c>
      <c r="AC5" s="8" t="s">
        <v>16</v>
      </c>
      <c r="AD5" s="8" t="s">
        <v>25</v>
      </c>
      <c r="AE5" s="43"/>
      <c r="AF5" s="43"/>
      <c r="AG5" s="45"/>
      <c r="AH5" s="45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5:55" ht="15.75" customHeight="1">
      <c r="E6" s="7"/>
      <c r="F6" s="7"/>
      <c r="G6" s="8">
        <v>2</v>
      </c>
      <c r="H6" s="9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16</v>
      </c>
      <c r="AC6" s="8">
        <v>17</v>
      </c>
      <c r="AD6" s="8">
        <v>18</v>
      </c>
      <c r="AE6" s="8">
        <v>19</v>
      </c>
      <c r="AF6" s="8">
        <v>18.6</v>
      </c>
      <c r="AG6" s="8">
        <v>20</v>
      </c>
      <c r="AH6" s="8">
        <v>21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4:55" s="10" customFormat="1" ht="24" customHeight="1" thickBot="1">
      <c r="D7" s="10">
        <v>1</v>
      </c>
      <c r="E7" s="11" t="s">
        <v>26</v>
      </c>
      <c r="F7" s="11">
        <v>6</v>
      </c>
      <c r="G7" s="11">
        <v>979.8</v>
      </c>
      <c r="H7" s="12">
        <v>876.3897</v>
      </c>
      <c r="I7" s="13">
        <v>16.57</v>
      </c>
      <c r="J7" s="13">
        <v>2.514</v>
      </c>
      <c r="K7" s="13">
        <v>6.916</v>
      </c>
      <c r="L7" s="14">
        <f>I7+J7+K7</f>
        <v>26</v>
      </c>
      <c r="M7" s="15">
        <f>P7/L7*I7</f>
        <v>181611.9479423077</v>
      </c>
      <c r="N7" s="16">
        <f>P7/L7*J7</f>
        <v>27554.160357692308</v>
      </c>
      <c r="O7" s="17">
        <f>P7/L7*K7</f>
        <v>75801.34170000002</v>
      </c>
      <c r="P7" s="14">
        <v>284967.45</v>
      </c>
      <c r="Q7" s="17">
        <f>T7/P7*M7</f>
        <v>176158.74182307694</v>
      </c>
      <c r="R7" s="14">
        <f>T7/P7*N7</f>
        <v>26726.80005692308</v>
      </c>
      <c r="S7" s="14">
        <f aca="true" t="shared" si="0" ref="S7:S31">T7/P7*O7</f>
        <v>73525.27812000002</v>
      </c>
      <c r="T7" s="18">
        <v>276410.82</v>
      </c>
      <c r="U7" s="14">
        <f>Q7</f>
        <v>176158.74182307694</v>
      </c>
      <c r="V7" s="19">
        <v>26726.8</v>
      </c>
      <c r="W7" s="19">
        <f aca="true" t="shared" si="1" ref="W7:W30">I7/L7</f>
        <v>0.6373076923076924</v>
      </c>
      <c r="X7" s="19"/>
      <c r="Y7" s="19">
        <f>P7-T7</f>
        <v>8556.630000000005</v>
      </c>
      <c r="Z7" s="19">
        <f>K7/L7</f>
        <v>0.266</v>
      </c>
      <c r="AA7" s="19"/>
      <c r="AB7" s="19">
        <f>V7+X7+AA7</f>
        <v>26726.8</v>
      </c>
      <c r="AC7" s="19">
        <f>S7</f>
        <v>73525.27812000002</v>
      </c>
      <c r="AD7" s="14">
        <f>AC7+U7+V7</f>
        <v>276410.81994307693</v>
      </c>
      <c r="AE7" s="20">
        <f>R7-V7</f>
        <v>5.69230796827469E-05</v>
      </c>
      <c r="AF7" s="20">
        <f>AE7</f>
        <v>5.69230796827469E-05</v>
      </c>
      <c r="AG7" s="21">
        <v>8556.63</v>
      </c>
      <c r="AH7" s="22">
        <f>AE7-AG7</f>
        <v>-8556.62994307692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4:55" s="24" customFormat="1" ht="21.75" customHeight="1" thickBot="1">
      <c r="D8" s="10">
        <v>2</v>
      </c>
      <c r="E8" s="25" t="s">
        <v>27</v>
      </c>
      <c r="F8" s="25">
        <v>3</v>
      </c>
      <c r="G8" s="25">
        <v>329.5</v>
      </c>
      <c r="H8" s="27">
        <v>323.7251</v>
      </c>
      <c r="I8" s="13">
        <v>12.29</v>
      </c>
      <c r="J8" s="13">
        <v>3.794</v>
      </c>
      <c r="K8" s="13">
        <v>6.916</v>
      </c>
      <c r="L8" s="14">
        <f>I8+J8+K8</f>
        <v>23</v>
      </c>
      <c r="M8" s="15">
        <f>P8/L8*I8</f>
        <v>43764.39076521739</v>
      </c>
      <c r="N8" s="16">
        <f>P8/L8*J8</f>
        <v>13510.341624347826</v>
      </c>
      <c r="O8" s="17">
        <f>P8/L8*K8</f>
        <v>24627.707610434783</v>
      </c>
      <c r="P8" s="14">
        <v>81902.44</v>
      </c>
      <c r="Q8" s="17">
        <f aca="true" t="shared" si="2" ref="Q8:Q31">T8/P8*M8</f>
        <v>36033.23267826086</v>
      </c>
      <c r="R8" s="14">
        <f aca="true" t="shared" si="3" ref="R8:R30">T8/P8*N8</f>
        <v>11123.68468521739</v>
      </c>
      <c r="S8" s="14">
        <f t="shared" si="0"/>
        <v>20277.122636521737</v>
      </c>
      <c r="T8" s="18">
        <v>67434.04</v>
      </c>
      <c r="U8" s="14">
        <f aca="true" t="shared" si="4" ref="U8:U30">Q8</f>
        <v>36033.23267826086</v>
      </c>
      <c r="V8" s="14">
        <v>0</v>
      </c>
      <c r="W8" s="19">
        <f t="shared" si="1"/>
        <v>0.5343478260869565</v>
      </c>
      <c r="X8" s="19">
        <f aca="true" t="shared" si="5" ref="X8:X29">Y8*W8</f>
        <v>7731.158086956527</v>
      </c>
      <c r="Y8" s="19">
        <f aca="true" t="shared" si="6" ref="Y8:Y30">P8-T8</f>
        <v>14468.400000000009</v>
      </c>
      <c r="Z8" s="19">
        <f aca="true" t="shared" si="7" ref="Z8:Z30">K8/L8</f>
        <v>0.3006956521739131</v>
      </c>
      <c r="AA8" s="19">
        <f aca="true" t="shared" si="8" ref="AA8:AA29">Y8*Z8</f>
        <v>4350.584973913046</v>
      </c>
      <c r="AB8" s="19">
        <f aca="true" t="shared" si="9" ref="AB8:AB30">V8+X8+AA8</f>
        <v>12081.743060869572</v>
      </c>
      <c r="AC8" s="19">
        <f aca="true" t="shared" si="10" ref="AC8:AC30">S8</f>
        <v>20277.122636521737</v>
      </c>
      <c r="AD8" s="14">
        <f aca="true" t="shared" si="11" ref="AD8:AD30">AC8+U8+V8</f>
        <v>56310.355314782595</v>
      </c>
      <c r="AE8" s="20">
        <f aca="true" t="shared" si="12" ref="AE8:AE30">R8-V8</f>
        <v>11123.68468521739</v>
      </c>
      <c r="AF8" s="20">
        <f aca="true" t="shared" si="13" ref="AF8:AF30">AE8-AB8</f>
        <v>-958.0583756521828</v>
      </c>
      <c r="AG8" s="21">
        <v>14468.4</v>
      </c>
      <c r="AH8" s="22">
        <f aca="true" t="shared" si="14" ref="AH8:AH30">AE8-AG8</f>
        <v>-3344.71531478261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4:55" s="24" customFormat="1" ht="22.5" customHeight="1" thickBot="1">
      <c r="D9" s="10">
        <v>3</v>
      </c>
      <c r="E9" s="25" t="s">
        <v>27</v>
      </c>
      <c r="F9" s="25">
        <v>5</v>
      </c>
      <c r="G9" s="25">
        <v>317.5</v>
      </c>
      <c r="H9" s="27">
        <v>323.2929</v>
      </c>
      <c r="I9" s="13">
        <v>12.29</v>
      </c>
      <c r="J9" s="13">
        <v>3.794</v>
      </c>
      <c r="K9" s="13">
        <v>6.916</v>
      </c>
      <c r="L9" s="14">
        <f>I9+J9+K9</f>
        <v>23</v>
      </c>
      <c r="M9" s="15">
        <f>H9*I9*11-0.01</f>
        <v>43705.957150999995</v>
      </c>
      <c r="N9" s="16">
        <f>J9*H9*11</f>
        <v>13492.3058886</v>
      </c>
      <c r="O9" s="17">
        <f>H9*K9*11</f>
        <v>24594.8306604</v>
      </c>
      <c r="P9" s="14">
        <f>M9+N9+O9</f>
        <v>81793.0937</v>
      </c>
      <c r="Q9" s="17">
        <f t="shared" si="2"/>
        <v>39342.78121268774</v>
      </c>
      <c r="R9" s="14">
        <f t="shared" si="3"/>
        <v>12145.365831845258</v>
      </c>
      <c r="S9" s="14">
        <f t="shared" si="0"/>
        <v>22139.522955467</v>
      </c>
      <c r="T9" s="18">
        <v>73627.67</v>
      </c>
      <c r="U9" s="14">
        <f t="shared" si="4"/>
        <v>39342.78121268774</v>
      </c>
      <c r="V9" s="14">
        <v>0</v>
      </c>
      <c r="W9" s="19">
        <f t="shared" si="1"/>
        <v>0.5343478260869565</v>
      </c>
      <c r="X9" s="19"/>
      <c r="Y9" s="19">
        <f>P9-T9</f>
        <v>8165.423699999999</v>
      </c>
      <c r="Z9" s="19">
        <f t="shared" si="7"/>
        <v>0.3006956521739131</v>
      </c>
      <c r="AA9" s="19"/>
      <c r="AB9" s="19">
        <f t="shared" si="9"/>
        <v>0</v>
      </c>
      <c r="AC9" s="19">
        <f t="shared" si="10"/>
        <v>22139.522955467</v>
      </c>
      <c r="AD9" s="14">
        <f t="shared" si="11"/>
        <v>61482.30416815474</v>
      </c>
      <c r="AE9" s="20">
        <f t="shared" si="12"/>
        <v>12145.365831845258</v>
      </c>
      <c r="AF9" s="20">
        <f t="shared" si="13"/>
        <v>12145.365831845258</v>
      </c>
      <c r="AG9" s="21">
        <v>8165.42</v>
      </c>
      <c r="AH9" s="22">
        <f t="shared" si="14"/>
        <v>3979.945831845258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4:55" s="24" customFormat="1" ht="22.5" customHeight="1" thickBot="1">
      <c r="D10" s="10">
        <v>4</v>
      </c>
      <c r="E10" s="25" t="s">
        <v>27</v>
      </c>
      <c r="F10" s="25">
        <v>7</v>
      </c>
      <c r="G10" s="25">
        <v>328.1</v>
      </c>
      <c r="H10" s="27">
        <v>238.8959</v>
      </c>
      <c r="I10" s="13">
        <v>10.29</v>
      </c>
      <c r="J10" s="13">
        <v>3.79</v>
      </c>
      <c r="K10" s="13">
        <v>6.916</v>
      </c>
      <c r="L10" s="14">
        <f>SUM(I10:K10)</f>
        <v>20.996</v>
      </c>
      <c r="M10" s="15">
        <f>H10*I10*11</f>
        <v>27040.626920999995</v>
      </c>
      <c r="N10" s="16">
        <f>J10*H10*11</f>
        <v>9959.570071</v>
      </c>
      <c r="O10" s="17">
        <f>H10*K10*11</f>
        <v>18174.244488400003</v>
      </c>
      <c r="P10" s="14">
        <f>M10+N10+O10</f>
        <v>55174.4414804</v>
      </c>
      <c r="Q10" s="17">
        <f t="shared" si="2"/>
        <v>19323.33693560678</v>
      </c>
      <c r="R10" s="14">
        <f t="shared" si="3"/>
        <v>7117.147423318728</v>
      </c>
      <c r="S10" s="14">
        <f t="shared" si="0"/>
        <v>12987.385641074494</v>
      </c>
      <c r="T10" s="18">
        <v>39427.87</v>
      </c>
      <c r="U10" s="14">
        <f t="shared" si="4"/>
        <v>19323.33693560678</v>
      </c>
      <c r="V10" s="14">
        <v>0</v>
      </c>
      <c r="W10" s="19">
        <f t="shared" si="1"/>
        <v>0.490093351114498</v>
      </c>
      <c r="X10" s="19">
        <f t="shared" si="5"/>
        <v>7717.289985393215</v>
      </c>
      <c r="Y10" s="19">
        <f t="shared" si="6"/>
        <v>15746.571480399994</v>
      </c>
      <c r="Z10" s="19">
        <f t="shared" si="7"/>
        <v>0.3293960754429415</v>
      </c>
      <c r="AA10" s="19">
        <f t="shared" si="8"/>
        <v>5186.858847325508</v>
      </c>
      <c r="AB10" s="19">
        <f t="shared" si="9"/>
        <v>12904.148832718722</v>
      </c>
      <c r="AC10" s="19">
        <f t="shared" si="10"/>
        <v>12987.385641074494</v>
      </c>
      <c r="AD10" s="14">
        <f t="shared" si="11"/>
        <v>32310.722576681277</v>
      </c>
      <c r="AE10" s="20">
        <f t="shared" si="12"/>
        <v>7117.147423318728</v>
      </c>
      <c r="AF10" s="20">
        <f t="shared" si="13"/>
        <v>-5787.0014093999935</v>
      </c>
      <c r="AG10" s="21">
        <v>15746.57</v>
      </c>
      <c r="AH10" s="22">
        <f t="shared" si="14"/>
        <v>-8629.42257668127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4:55" s="24" customFormat="1" ht="22.5" customHeight="1" thickBot="1">
      <c r="D11" s="10">
        <v>5</v>
      </c>
      <c r="E11" s="25" t="s">
        <v>27</v>
      </c>
      <c r="F11" s="25">
        <v>9</v>
      </c>
      <c r="G11" s="25">
        <v>327.8</v>
      </c>
      <c r="H11" s="27">
        <v>327.8781</v>
      </c>
      <c r="I11" s="13">
        <v>10.29</v>
      </c>
      <c r="J11" s="13">
        <v>3.789</v>
      </c>
      <c r="K11" s="13">
        <v>6.916</v>
      </c>
      <c r="L11" s="14">
        <f aca="true" t="shared" si="15" ref="L11:L30">I11+J11+K11</f>
        <v>20.994999999999997</v>
      </c>
      <c r="M11" s="15">
        <f>H11*I11*11-0.01</f>
        <v>37112.512139</v>
      </c>
      <c r="N11" s="16">
        <f>J11*H11*11</f>
        <v>13665.631329900001</v>
      </c>
      <c r="O11" s="17">
        <f>H11*K11*11</f>
        <v>24943.654335600004</v>
      </c>
      <c r="P11" s="14">
        <f>M11+N11+O11</f>
        <v>75721.7978045</v>
      </c>
      <c r="Q11" s="17">
        <f t="shared" si="2"/>
        <v>31118.328051443474</v>
      </c>
      <c r="R11" s="14">
        <f t="shared" si="3"/>
        <v>11458.442833543266</v>
      </c>
      <c r="S11" s="14">
        <f t="shared" si="0"/>
        <v>20914.90911501326</v>
      </c>
      <c r="T11" s="18">
        <v>63491.68</v>
      </c>
      <c r="U11" s="14">
        <f t="shared" si="4"/>
        <v>31118.328051443474</v>
      </c>
      <c r="V11" s="14">
        <v>0</v>
      </c>
      <c r="W11" s="19">
        <f t="shared" si="1"/>
        <v>0.4901166944510598</v>
      </c>
      <c r="X11" s="19">
        <f t="shared" si="5"/>
        <v>5994.184911088596</v>
      </c>
      <c r="Y11" s="19">
        <f t="shared" si="6"/>
        <v>12230.117804500005</v>
      </c>
      <c r="Z11" s="19">
        <f t="shared" si="7"/>
        <v>0.3294117647058824</v>
      </c>
      <c r="AA11" s="19">
        <f t="shared" si="8"/>
        <v>4028.7446885411787</v>
      </c>
      <c r="AB11" s="19">
        <f t="shared" si="9"/>
        <v>10022.929599629775</v>
      </c>
      <c r="AC11" s="19">
        <f t="shared" si="10"/>
        <v>20914.90911501326</v>
      </c>
      <c r="AD11" s="14">
        <f t="shared" si="11"/>
        <v>52033.23716645673</v>
      </c>
      <c r="AE11" s="20">
        <f t="shared" si="12"/>
        <v>11458.442833543266</v>
      </c>
      <c r="AF11" s="20">
        <f t="shared" si="13"/>
        <v>1435.5132339134907</v>
      </c>
      <c r="AG11" s="21">
        <v>12230.12</v>
      </c>
      <c r="AH11" s="22">
        <f t="shared" si="14"/>
        <v>-771.677166456735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4:55" s="24" customFormat="1" ht="19.5" customHeight="1" thickBot="1">
      <c r="D12" s="10">
        <v>6</v>
      </c>
      <c r="E12" s="25" t="s">
        <v>27</v>
      </c>
      <c r="F12" s="25">
        <v>11</v>
      </c>
      <c r="G12" s="25">
        <v>329.4</v>
      </c>
      <c r="H12" s="27">
        <v>333.109</v>
      </c>
      <c r="I12" s="13">
        <v>10.29</v>
      </c>
      <c r="J12" s="13">
        <v>3.79</v>
      </c>
      <c r="K12" s="13">
        <v>6.916</v>
      </c>
      <c r="L12" s="14">
        <f t="shared" si="15"/>
        <v>20.996</v>
      </c>
      <c r="M12" s="15">
        <f>H12*I12*11-0.02</f>
        <v>37704.58771</v>
      </c>
      <c r="N12" s="16">
        <f>J12*H12*11</f>
        <v>13887.314209999999</v>
      </c>
      <c r="O12" s="17">
        <f>H12*K12*11</f>
        <v>25341.600284</v>
      </c>
      <c r="P12" s="14">
        <f>M12+N12+O12</f>
        <v>76933.50220399999</v>
      </c>
      <c r="Q12" s="17">
        <f t="shared" si="2"/>
        <v>28684.465050687515</v>
      </c>
      <c r="R12" s="14">
        <f t="shared" si="3"/>
        <v>10565.032090219906</v>
      </c>
      <c r="S12" s="14">
        <f t="shared" si="0"/>
        <v>19279.09285909258</v>
      </c>
      <c r="T12" s="18">
        <v>58528.59</v>
      </c>
      <c r="U12" s="14">
        <f t="shared" si="4"/>
        <v>28684.465050687515</v>
      </c>
      <c r="V12" s="14">
        <v>0</v>
      </c>
      <c r="W12" s="19">
        <f t="shared" si="1"/>
        <v>0.490093351114498</v>
      </c>
      <c r="X12" s="19">
        <f t="shared" si="5"/>
        <v>9020.125099026478</v>
      </c>
      <c r="Y12" s="19">
        <f t="shared" si="6"/>
        <v>18404.912203999993</v>
      </c>
      <c r="Z12" s="19">
        <f t="shared" si="7"/>
        <v>0.3293960754429415</v>
      </c>
      <c r="AA12" s="19">
        <f t="shared" si="8"/>
        <v>6062.505848869497</v>
      </c>
      <c r="AB12" s="19">
        <f t="shared" si="9"/>
        <v>15082.630947895974</v>
      </c>
      <c r="AC12" s="19">
        <f t="shared" si="10"/>
        <v>19279.09285909258</v>
      </c>
      <c r="AD12" s="14">
        <f t="shared" si="11"/>
        <v>47963.557909780095</v>
      </c>
      <c r="AE12" s="20">
        <f t="shared" si="12"/>
        <v>10565.032090219906</v>
      </c>
      <c r="AF12" s="20">
        <f t="shared" si="13"/>
        <v>-4517.598857676068</v>
      </c>
      <c r="AG12" s="21">
        <v>18404.91</v>
      </c>
      <c r="AH12" s="22">
        <f t="shared" si="14"/>
        <v>-7839.877909780094</v>
      </c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4:55" s="24" customFormat="1" ht="21" customHeight="1" thickBot="1">
      <c r="D13" s="10">
        <v>7</v>
      </c>
      <c r="E13" s="25" t="s">
        <v>27</v>
      </c>
      <c r="F13" s="25">
        <v>13</v>
      </c>
      <c r="G13" s="25">
        <v>330.3</v>
      </c>
      <c r="H13" s="27">
        <v>332.33</v>
      </c>
      <c r="I13" s="13">
        <v>10.29</v>
      </c>
      <c r="J13" s="13">
        <v>3.79</v>
      </c>
      <c r="K13" s="13">
        <v>6.916</v>
      </c>
      <c r="L13" s="14">
        <f t="shared" si="15"/>
        <v>20.996</v>
      </c>
      <c r="M13" s="15">
        <f>H13*I13*16-0.47</f>
        <v>54714.341199999995</v>
      </c>
      <c r="N13" s="16">
        <f>J13*H13*16</f>
        <v>20152.4912</v>
      </c>
      <c r="O13" s="17">
        <f>H13*K13*16</f>
        <v>36774.30848</v>
      </c>
      <c r="P13" s="14">
        <f aca="true" t="shared" si="16" ref="P13:P30">M13+N13+O13</f>
        <v>111641.14087999999</v>
      </c>
      <c r="Q13" s="17">
        <f t="shared" si="2"/>
        <v>37328.801273868354</v>
      </c>
      <c r="R13" s="14">
        <f t="shared" si="3"/>
        <v>13749.015754907432</v>
      </c>
      <c r="S13" s="14">
        <f t="shared" si="0"/>
        <v>25089.23297122422</v>
      </c>
      <c r="T13" s="18">
        <v>76167.05</v>
      </c>
      <c r="U13" s="14">
        <f t="shared" si="4"/>
        <v>37328.801273868354</v>
      </c>
      <c r="V13" s="14">
        <v>0</v>
      </c>
      <c r="W13" s="19">
        <f t="shared" si="1"/>
        <v>0.490093351114498</v>
      </c>
      <c r="X13" s="19">
        <f t="shared" si="5"/>
        <v>17385.616077119445</v>
      </c>
      <c r="Y13" s="19">
        <f t="shared" si="6"/>
        <v>35474.09087999999</v>
      </c>
      <c r="Z13" s="19">
        <f t="shared" si="7"/>
        <v>0.3293960754429415</v>
      </c>
      <c r="AA13" s="19">
        <f t="shared" si="8"/>
        <v>11685.026315778241</v>
      </c>
      <c r="AB13" s="19">
        <f t="shared" si="9"/>
        <v>29070.642392897687</v>
      </c>
      <c r="AC13" s="19">
        <f t="shared" si="10"/>
        <v>25089.23297122422</v>
      </c>
      <c r="AD13" s="14">
        <f t="shared" si="11"/>
        <v>62418.034245092575</v>
      </c>
      <c r="AE13" s="20">
        <f t="shared" si="12"/>
        <v>13749.015754907432</v>
      </c>
      <c r="AF13" s="20">
        <f t="shared" si="13"/>
        <v>-15321.626637990255</v>
      </c>
      <c r="AG13" s="21">
        <v>35474.09</v>
      </c>
      <c r="AH13" s="22">
        <f t="shared" si="14"/>
        <v>-21725.074245092565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4:55" s="24" customFormat="1" ht="24.75" customHeight="1" thickBot="1">
      <c r="D14" s="10">
        <v>8</v>
      </c>
      <c r="E14" s="25" t="s">
        <v>28</v>
      </c>
      <c r="F14" s="25">
        <v>15</v>
      </c>
      <c r="G14" s="25">
        <v>936.6</v>
      </c>
      <c r="H14" s="27">
        <v>320.8937</v>
      </c>
      <c r="I14" s="13">
        <v>16.57</v>
      </c>
      <c r="J14" s="13">
        <v>2.514</v>
      </c>
      <c r="K14" s="13">
        <v>6.916</v>
      </c>
      <c r="L14" s="14">
        <f t="shared" si="15"/>
        <v>26</v>
      </c>
      <c r="M14" s="15">
        <f>H14*I14*11+35890.6217</f>
        <v>94379.91639900001</v>
      </c>
      <c r="N14" s="16">
        <f>J14*H14*11+5445.3492</f>
        <v>14319.3435798</v>
      </c>
      <c r="O14" s="17">
        <f>H14*K14*11+14980.1252</f>
        <v>39392.4343212</v>
      </c>
      <c r="P14" s="14">
        <f t="shared" si="16"/>
        <v>148091.6943</v>
      </c>
      <c r="Q14" s="17">
        <f t="shared" si="2"/>
        <v>92352.53719920997</v>
      </c>
      <c r="R14" s="14">
        <f t="shared" si="3"/>
        <v>14011.749120766965</v>
      </c>
      <c r="S14" s="14">
        <f t="shared" si="0"/>
        <v>38546.24368002306</v>
      </c>
      <c r="T14" s="18">
        <v>144910.53</v>
      </c>
      <c r="U14" s="14">
        <f t="shared" si="4"/>
        <v>92352.53719920997</v>
      </c>
      <c r="V14" s="14">
        <v>0</v>
      </c>
      <c r="W14" s="19">
        <f t="shared" si="1"/>
        <v>0.6373076923076924</v>
      </c>
      <c r="X14" s="19"/>
      <c r="Y14" s="19">
        <f t="shared" si="6"/>
        <v>3181.164300000004</v>
      </c>
      <c r="Z14" s="19">
        <f t="shared" si="7"/>
        <v>0.266</v>
      </c>
      <c r="AA14" s="19"/>
      <c r="AB14" s="19">
        <f t="shared" si="9"/>
        <v>0</v>
      </c>
      <c r="AC14" s="19">
        <f t="shared" si="10"/>
        <v>38546.24368002306</v>
      </c>
      <c r="AD14" s="14">
        <f t="shared" si="11"/>
        <v>130898.78087923303</v>
      </c>
      <c r="AE14" s="20">
        <f t="shared" si="12"/>
        <v>14011.749120766965</v>
      </c>
      <c r="AF14" s="20">
        <f t="shared" si="13"/>
        <v>14011.749120766965</v>
      </c>
      <c r="AG14" s="21">
        <v>3181.07</v>
      </c>
      <c r="AH14" s="22">
        <f t="shared" si="14"/>
        <v>10830.679120766965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4:55" s="24" customFormat="1" ht="21.75" customHeight="1" thickBot="1">
      <c r="D15" s="10">
        <v>9</v>
      </c>
      <c r="E15" s="25" t="s">
        <v>28</v>
      </c>
      <c r="F15" s="25">
        <v>17</v>
      </c>
      <c r="G15" s="25">
        <v>562.1</v>
      </c>
      <c r="H15" s="27">
        <v>564.4749</v>
      </c>
      <c r="I15" s="13">
        <v>16.57</v>
      </c>
      <c r="J15" s="13">
        <v>2.514</v>
      </c>
      <c r="K15" s="13">
        <v>6.916</v>
      </c>
      <c r="L15" s="14">
        <f t="shared" si="15"/>
        <v>26</v>
      </c>
      <c r="M15" s="15">
        <f>H15*I15*11-0.01</f>
        <v>102886.83002300002</v>
      </c>
      <c r="N15" s="16">
        <f aca="true" t="shared" si="17" ref="N15:N20">J15*H15*11</f>
        <v>15609.9888846</v>
      </c>
      <c r="O15" s="17">
        <f aca="true" t="shared" si="18" ref="O15:O20">H15*K15*11</f>
        <v>42942.99249240001</v>
      </c>
      <c r="P15" s="14">
        <f t="shared" si="16"/>
        <v>161439.8114</v>
      </c>
      <c r="Q15" s="17">
        <f t="shared" si="2"/>
        <v>96980.57392743562</v>
      </c>
      <c r="R15" s="14">
        <f t="shared" si="3"/>
        <v>14713.891765262657</v>
      </c>
      <c r="S15" s="14">
        <f t="shared" si="0"/>
        <v>40477.83430730173</v>
      </c>
      <c r="T15" s="18">
        <v>152172.3</v>
      </c>
      <c r="U15" s="14">
        <f t="shared" si="4"/>
        <v>96980.57392743562</v>
      </c>
      <c r="V15" s="14">
        <v>0</v>
      </c>
      <c r="W15" s="19">
        <f t="shared" si="1"/>
        <v>0.6373076923076924</v>
      </c>
      <c r="X15" s="19"/>
      <c r="Y15" s="19">
        <f t="shared" si="6"/>
        <v>9267.511400000018</v>
      </c>
      <c r="Z15" s="19">
        <f t="shared" si="7"/>
        <v>0.266</v>
      </c>
      <c r="AA15" s="19"/>
      <c r="AB15" s="19">
        <f t="shared" si="9"/>
        <v>0</v>
      </c>
      <c r="AC15" s="19">
        <f t="shared" si="10"/>
        <v>40477.83430730173</v>
      </c>
      <c r="AD15" s="14">
        <f t="shared" si="11"/>
        <v>137458.40823473735</v>
      </c>
      <c r="AE15" s="20">
        <f t="shared" si="12"/>
        <v>14713.891765262657</v>
      </c>
      <c r="AF15" s="20">
        <f t="shared" si="13"/>
        <v>14713.891765262657</v>
      </c>
      <c r="AG15" s="21">
        <v>9267.51</v>
      </c>
      <c r="AH15" s="22">
        <f t="shared" si="14"/>
        <v>5446.381765262657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4:55" s="24" customFormat="1" ht="22.5" customHeight="1" thickBot="1">
      <c r="D16" s="10">
        <v>10</v>
      </c>
      <c r="E16" s="25" t="s">
        <v>28</v>
      </c>
      <c r="F16" s="25">
        <v>19</v>
      </c>
      <c r="G16" s="25">
        <v>562.1</v>
      </c>
      <c r="H16" s="27">
        <v>563.2717</v>
      </c>
      <c r="I16" s="13">
        <v>16.57</v>
      </c>
      <c r="J16" s="13">
        <v>2.514</v>
      </c>
      <c r="K16" s="13">
        <v>6.916</v>
      </c>
      <c r="L16" s="14">
        <f t="shared" si="15"/>
        <v>26</v>
      </c>
      <c r="M16" s="15">
        <f>H16*I16*11-0.01</f>
        <v>102667.522759</v>
      </c>
      <c r="N16" s="16">
        <f t="shared" si="17"/>
        <v>15576.715591799999</v>
      </c>
      <c r="O16" s="17">
        <f t="shared" si="18"/>
        <v>42851.4578492</v>
      </c>
      <c r="P16" s="14">
        <f t="shared" si="16"/>
        <v>161095.6962</v>
      </c>
      <c r="Q16" s="17">
        <f t="shared" si="2"/>
        <v>100149.14019281275</v>
      </c>
      <c r="R16" s="14">
        <f t="shared" si="3"/>
        <v>15194.62661243571</v>
      </c>
      <c r="S16" s="14">
        <f t="shared" si="0"/>
        <v>41800.33319475154</v>
      </c>
      <c r="T16" s="18">
        <v>157144.1</v>
      </c>
      <c r="U16" s="14">
        <f t="shared" si="4"/>
        <v>100149.14019281275</v>
      </c>
      <c r="V16" s="14">
        <v>15194.63</v>
      </c>
      <c r="W16" s="19">
        <f t="shared" si="1"/>
        <v>0.6373076923076924</v>
      </c>
      <c r="X16" s="19">
        <f t="shared" si="5"/>
        <v>2518.3826551538464</v>
      </c>
      <c r="Y16" s="19">
        <f t="shared" si="6"/>
        <v>3951.5962</v>
      </c>
      <c r="Z16" s="19">
        <f t="shared" si="7"/>
        <v>0.266</v>
      </c>
      <c r="AA16" s="19">
        <f t="shared" si="8"/>
        <v>1051.1245892</v>
      </c>
      <c r="AB16" s="19">
        <f t="shared" si="9"/>
        <v>18764.137244353846</v>
      </c>
      <c r="AC16" s="19">
        <f t="shared" si="10"/>
        <v>41800.33319475154</v>
      </c>
      <c r="AD16" s="14">
        <f t="shared" si="11"/>
        <v>157144.1033875643</v>
      </c>
      <c r="AE16" s="20">
        <f t="shared" si="12"/>
        <v>-0.0033875642893690383</v>
      </c>
      <c r="AF16" s="20">
        <f t="shared" si="13"/>
        <v>-18764.140631918133</v>
      </c>
      <c r="AG16" s="21">
        <v>3951.6</v>
      </c>
      <c r="AH16" s="22">
        <f t="shared" si="14"/>
        <v>-3951.6033875642893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4:55" s="24" customFormat="1" ht="19.5" customHeight="1" thickBot="1">
      <c r="D17" s="10">
        <v>11</v>
      </c>
      <c r="E17" s="25" t="s">
        <v>29</v>
      </c>
      <c r="F17" s="25">
        <v>132</v>
      </c>
      <c r="G17" s="19">
        <v>328.4</v>
      </c>
      <c r="H17" s="29">
        <v>337.755</v>
      </c>
      <c r="I17" s="13">
        <v>10.29</v>
      </c>
      <c r="J17" s="13">
        <v>3.79</v>
      </c>
      <c r="K17" s="13">
        <v>6.916</v>
      </c>
      <c r="L17" s="14">
        <f t="shared" si="15"/>
        <v>20.996</v>
      </c>
      <c r="M17" s="15">
        <f>H17*I17*11-0.03</f>
        <v>38230.45845</v>
      </c>
      <c r="N17" s="16">
        <f t="shared" si="17"/>
        <v>14081.005949999999</v>
      </c>
      <c r="O17" s="17">
        <f t="shared" si="18"/>
        <v>25695.04938</v>
      </c>
      <c r="P17" s="14">
        <f t="shared" si="16"/>
        <v>78006.51378</v>
      </c>
      <c r="Q17" s="17">
        <f t="shared" si="2"/>
        <v>26930.741391249398</v>
      </c>
      <c r="R17" s="14">
        <f t="shared" si="3"/>
        <v>9919.10495303239</v>
      </c>
      <c r="S17" s="14">
        <f t="shared" si="0"/>
        <v>18100.40365571821</v>
      </c>
      <c r="T17" s="30">
        <v>54950.25</v>
      </c>
      <c r="U17" s="14">
        <f t="shared" si="4"/>
        <v>26930.741391249398</v>
      </c>
      <c r="V17" s="14">
        <v>0</v>
      </c>
      <c r="W17" s="19">
        <f t="shared" si="1"/>
        <v>0.490093351114498</v>
      </c>
      <c r="X17" s="19"/>
      <c r="Y17" s="19">
        <f t="shared" si="6"/>
        <v>23056.263779999994</v>
      </c>
      <c r="Z17" s="19">
        <f t="shared" si="7"/>
        <v>0.3293960754429415</v>
      </c>
      <c r="AA17" s="19"/>
      <c r="AB17" s="19">
        <f t="shared" si="9"/>
        <v>0</v>
      </c>
      <c r="AC17" s="19">
        <f t="shared" si="10"/>
        <v>18100.40365571821</v>
      </c>
      <c r="AD17" s="14">
        <f t="shared" si="11"/>
        <v>45031.145046967606</v>
      </c>
      <c r="AE17" s="20">
        <f t="shared" si="12"/>
        <v>9919.10495303239</v>
      </c>
      <c r="AF17" s="20">
        <f t="shared" si="13"/>
        <v>9919.10495303239</v>
      </c>
      <c r="AG17" s="21">
        <v>23056.26</v>
      </c>
      <c r="AH17" s="22">
        <f t="shared" si="14"/>
        <v>-13137.155046967608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4:55" s="24" customFormat="1" ht="22.5" customHeight="1" thickBot="1">
      <c r="D18" s="10">
        <v>12</v>
      </c>
      <c r="E18" s="25" t="s">
        <v>29</v>
      </c>
      <c r="F18" s="25">
        <v>134</v>
      </c>
      <c r="G18" s="25">
        <v>331.4</v>
      </c>
      <c r="H18" s="27">
        <v>331.5121</v>
      </c>
      <c r="I18" s="13">
        <v>12.29</v>
      </c>
      <c r="J18" s="13">
        <v>3.794</v>
      </c>
      <c r="K18" s="13">
        <v>6.916</v>
      </c>
      <c r="L18" s="14">
        <f t="shared" si="15"/>
        <v>23</v>
      </c>
      <c r="M18" s="15">
        <f>H18*I18*11-0.02</f>
        <v>44817.100799</v>
      </c>
      <c r="N18" s="16">
        <f t="shared" si="17"/>
        <v>13835.325981399998</v>
      </c>
      <c r="O18" s="17">
        <f t="shared" si="18"/>
        <v>25220.1145196</v>
      </c>
      <c r="P18" s="14">
        <f t="shared" si="16"/>
        <v>83872.5413</v>
      </c>
      <c r="Q18" s="17">
        <f t="shared" si="2"/>
        <v>31072.153982302218</v>
      </c>
      <c r="R18" s="14">
        <f t="shared" si="3"/>
        <v>9592.17288992954</v>
      </c>
      <c r="S18" s="14">
        <f t="shared" si="0"/>
        <v>17485.36312776824</v>
      </c>
      <c r="T18" s="18">
        <v>58149.69</v>
      </c>
      <c r="U18" s="14">
        <f t="shared" si="4"/>
        <v>31072.153982302218</v>
      </c>
      <c r="V18" s="14">
        <v>0</v>
      </c>
      <c r="W18" s="19">
        <f t="shared" si="1"/>
        <v>0.5343478260869565</v>
      </c>
      <c r="X18" s="19">
        <f t="shared" si="5"/>
        <v>13744.94967291304</v>
      </c>
      <c r="Y18" s="19">
        <f t="shared" si="6"/>
        <v>25722.851299999995</v>
      </c>
      <c r="Z18" s="19">
        <f t="shared" si="7"/>
        <v>0.3006956521739131</v>
      </c>
      <c r="AA18" s="19">
        <f t="shared" si="8"/>
        <v>7734.749547426087</v>
      </c>
      <c r="AB18" s="19">
        <f t="shared" si="9"/>
        <v>21479.699220339127</v>
      </c>
      <c r="AC18" s="19">
        <f t="shared" si="10"/>
        <v>17485.36312776824</v>
      </c>
      <c r="AD18" s="14">
        <f t="shared" si="11"/>
        <v>48557.51711007046</v>
      </c>
      <c r="AE18" s="20">
        <f t="shared" si="12"/>
        <v>9592.17288992954</v>
      </c>
      <c r="AF18" s="20">
        <f t="shared" si="13"/>
        <v>-11887.526330409588</v>
      </c>
      <c r="AG18" s="21">
        <v>25722.85</v>
      </c>
      <c r="AH18" s="22">
        <f t="shared" si="14"/>
        <v>-16130.67711007046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4:55" s="24" customFormat="1" ht="22.5" customHeight="1" thickBot="1">
      <c r="D19" s="10">
        <v>13</v>
      </c>
      <c r="E19" s="25" t="s">
        <v>29</v>
      </c>
      <c r="F19" s="25">
        <v>136</v>
      </c>
      <c r="G19" s="25">
        <v>330.2</v>
      </c>
      <c r="H19" s="27">
        <v>331.7687</v>
      </c>
      <c r="I19" s="13">
        <v>12.29</v>
      </c>
      <c r="J19" s="13">
        <v>3.794</v>
      </c>
      <c r="K19" s="13">
        <v>6.916</v>
      </c>
      <c r="L19" s="14">
        <f t="shared" si="15"/>
        <v>23</v>
      </c>
      <c r="M19" s="15">
        <f>H19*I19*11</f>
        <v>44851.810553</v>
      </c>
      <c r="N19" s="16">
        <f t="shared" si="17"/>
        <v>13846.0349258</v>
      </c>
      <c r="O19" s="17">
        <f t="shared" si="18"/>
        <v>25239.635621200003</v>
      </c>
      <c r="P19" s="14">
        <f t="shared" si="16"/>
        <v>83937.4811</v>
      </c>
      <c r="Q19" s="17">
        <f t="shared" si="2"/>
        <v>25463.84336521739</v>
      </c>
      <c r="R19" s="14">
        <f t="shared" si="3"/>
        <v>7860.847984347826</v>
      </c>
      <c r="S19" s="14">
        <f t="shared" si="0"/>
        <v>14329.368650434784</v>
      </c>
      <c r="T19" s="18">
        <v>47654.06</v>
      </c>
      <c r="U19" s="14">
        <f t="shared" si="4"/>
        <v>25463.84336521739</v>
      </c>
      <c r="V19" s="14">
        <v>0</v>
      </c>
      <c r="W19" s="19">
        <f t="shared" si="1"/>
        <v>0.5343478260869565</v>
      </c>
      <c r="X19" s="19">
        <f t="shared" si="5"/>
        <v>19387.96718778261</v>
      </c>
      <c r="Y19" s="19">
        <f t="shared" si="6"/>
        <v>36283.42110000001</v>
      </c>
      <c r="Z19" s="19">
        <f t="shared" si="7"/>
        <v>0.3006956521739131</v>
      </c>
      <c r="AA19" s="19">
        <f t="shared" si="8"/>
        <v>10910.26697076522</v>
      </c>
      <c r="AB19" s="19">
        <f t="shared" si="9"/>
        <v>30298.23415854783</v>
      </c>
      <c r="AC19" s="19">
        <f t="shared" si="10"/>
        <v>14329.368650434784</v>
      </c>
      <c r="AD19" s="14">
        <f t="shared" si="11"/>
        <v>39793.21201565218</v>
      </c>
      <c r="AE19" s="20">
        <f t="shared" si="12"/>
        <v>7860.847984347826</v>
      </c>
      <c r="AF19" s="20">
        <f t="shared" si="13"/>
        <v>-22437.386174200004</v>
      </c>
      <c r="AG19" s="21">
        <v>36283.42</v>
      </c>
      <c r="AH19" s="22">
        <f t="shared" si="14"/>
        <v>-28422.57201565217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4:55" s="24" customFormat="1" ht="21" customHeight="1" thickBot="1">
      <c r="D20" s="10">
        <v>14</v>
      </c>
      <c r="E20" s="25" t="s">
        <v>29</v>
      </c>
      <c r="F20" s="25">
        <v>138</v>
      </c>
      <c r="G20" s="25">
        <v>335.6</v>
      </c>
      <c r="H20" s="27">
        <v>341.7417</v>
      </c>
      <c r="I20" s="13">
        <v>12.29</v>
      </c>
      <c r="J20" s="13">
        <v>3.794</v>
      </c>
      <c r="K20" s="13">
        <v>6.916</v>
      </c>
      <c r="L20" s="14">
        <f t="shared" si="15"/>
        <v>23</v>
      </c>
      <c r="M20" s="15">
        <f>H20*I20*11</f>
        <v>46200.060422999995</v>
      </c>
      <c r="N20" s="16">
        <f t="shared" si="17"/>
        <v>14262.2481078</v>
      </c>
      <c r="O20" s="17">
        <f t="shared" si="18"/>
        <v>25998.3415692</v>
      </c>
      <c r="P20" s="14">
        <f t="shared" si="16"/>
        <v>86460.6501</v>
      </c>
      <c r="Q20" s="17">
        <f t="shared" si="2"/>
        <v>37689.86055652174</v>
      </c>
      <c r="R20" s="14">
        <f t="shared" si="3"/>
        <v>11635.096090434783</v>
      </c>
      <c r="S20" s="14">
        <f t="shared" si="0"/>
        <v>21209.36335304348</v>
      </c>
      <c r="T20" s="18">
        <v>70534.32</v>
      </c>
      <c r="U20" s="14">
        <f t="shared" si="4"/>
        <v>37689.86055652174</v>
      </c>
      <c r="V20" s="31">
        <v>0</v>
      </c>
      <c r="W20" s="19">
        <f t="shared" si="1"/>
        <v>0.5343478260869565</v>
      </c>
      <c r="X20" s="19">
        <f t="shared" si="5"/>
        <v>8510.199866478257</v>
      </c>
      <c r="Y20" s="19">
        <f t="shared" si="6"/>
        <v>15926.330099999992</v>
      </c>
      <c r="Z20" s="19">
        <f t="shared" si="7"/>
        <v>0.3006956521739131</v>
      </c>
      <c r="AA20" s="19">
        <f t="shared" si="8"/>
        <v>4788.97821615652</v>
      </c>
      <c r="AB20" s="19">
        <f t="shared" si="9"/>
        <v>13299.178082634777</v>
      </c>
      <c r="AC20" s="19">
        <f t="shared" si="10"/>
        <v>21209.36335304348</v>
      </c>
      <c r="AD20" s="14">
        <f t="shared" si="11"/>
        <v>58899.22390956522</v>
      </c>
      <c r="AE20" s="20">
        <f t="shared" si="12"/>
        <v>11635.096090434783</v>
      </c>
      <c r="AF20" s="20">
        <f t="shared" si="13"/>
        <v>-1664.0819921999937</v>
      </c>
      <c r="AG20" s="21">
        <v>15926.33</v>
      </c>
      <c r="AH20" s="22">
        <f t="shared" si="14"/>
        <v>-4291.233909565217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4:55" s="24" customFormat="1" ht="21" customHeight="1" thickBot="1">
      <c r="D21" s="10">
        <v>15</v>
      </c>
      <c r="E21" s="25" t="s">
        <v>29</v>
      </c>
      <c r="F21" s="25">
        <v>140</v>
      </c>
      <c r="G21" s="25">
        <v>335.3</v>
      </c>
      <c r="H21" s="27">
        <v>319.525</v>
      </c>
      <c r="I21" s="13">
        <v>12.29</v>
      </c>
      <c r="J21" s="13">
        <v>3.794</v>
      </c>
      <c r="K21" s="13">
        <v>6.916</v>
      </c>
      <c r="L21" s="14">
        <f t="shared" si="15"/>
        <v>23</v>
      </c>
      <c r="M21" s="15">
        <f>H21*I21*16</f>
        <v>62831.39599999999</v>
      </c>
      <c r="N21" s="16">
        <f>J21*H21*16</f>
        <v>19396.4456</v>
      </c>
      <c r="O21" s="17">
        <f>H21*K21*16</f>
        <v>35357.3584</v>
      </c>
      <c r="P21" s="14">
        <f t="shared" si="16"/>
        <v>117585.19999999998</v>
      </c>
      <c r="Q21" s="17">
        <f t="shared" si="2"/>
        <v>37132.48233913044</v>
      </c>
      <c r="R21" s="14">
        <f t="shared" si="3"/>
        <v>11463.029942608699</v>
      </c>
      <c r="S21" s="14">
        <f t="shared" si="0"/>
        <v>20895.707718260874</v>
      </c>
      <c r="T21" s="18">
        <v>69491.22</v>
      </c>
      <c r="U21" s="14">
        <f t="shared" si="4"/>
        <v>37132.48233913044</v>
      </c>
      <c r="V21" s="14">
        <v>0</v>
      </c>
      <c r="W21" s="19">
        <f t="shared" si="1"/>
        <v>0.5343478260869565</v>
      </c>
      <c r="X21" s="19">
        <f t="shared" si="5"/>
        <v>25698.913660869555</v>
      </c>
      <c r="Y21" s="19">
        <f t="shared" si="6"/>
        <v>48093.97999999998</v>
      </c>
      <c r="Z21" s="19">
        <f t="shared" si="7"/>
        <v>0.3006956521739131</v>
      </c>
      <c r="AA21" s="19">
        <f t="shared" si="8"/>
        <v>14461.650681739127</v>
      </c>
      <c r="AB21" s="19">
        <f t="shared" si="9"/>
        <v>40160.56434260868</v>
      </c>
      <c r="AC21" s="19">
        <f t="shared" si="10"/>
        <v>20895.707718260874</v>
      </c>
      <c r="AD21" s="14">
        <f t="shared" si="11"/>
        <v>58028.190057391315</v>
      </c>
      <c r="AE21" s="20">
        <f t="shared" si="12"/>
        <v>11463.029942608699</v>
      </c>
      <c r="AF21" s="20">
        <f t="shared" si="13"/>
        <v>-28697.534399999982</v>
      </c>
      <c r="AG21" s="21">
        <v>48093.98</v>
      </c>
      <c r="AH21" s="22">
        <f t="shared" si="14"/>
        <v>-36630.9500573913</v>
      </c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4:55" s="24" customFormat="1" ht="19.5" customHeight="1" thickBot="1">
      <c r="D22" s="10">
        <v>16</v>
      </c>
      <c r="E22" s="25" t="s">
        <v>29</v>
      </c>
      <c r="F22" s="25">
        <v>142</v>
      </c>
      <c r="G22" s="25">
        <v>330.7</v>
      </c>
      <c r="H22" s="27">
        <v>330.5218</v>
      </c>
      <c r="I22" s="13">
        <v>10.29</v>
      </c>
      <c r="J22" s="13">
        <v>3.79</v>
      </c>
      <c r="K22" s="13">
        <v>6.916</v>
      </c>
      <c r="L22" s="14">
        <f t="shared" si="15"/>
        <v>20.996</v>
      </c>
      <c r="M22" s="15">
        <f>H22*I22*11-0.01</f>
        <v>37411.752541999995</v>
      </c>
      <c r="N22" s="16">
        <f>J22*H22*11</f>
        <v>13779.453841999999</v>
      </c>
      <c r="O22" s="17">
        <f>H22*K22*11</f>
        <v>25144.7764568</v>
      </c>
      <c r="P22" s="14">
        <f t="shared" si="16"/>
        <v>76335.98284079999</v>
      </c>
      <c r="Q22" s="17">
        <f t="shared" si="2"/>
        <v>33246.99232987994</v>
      </c>
      <c r="R22" s="14">
        <f t="shared" si="3"/>
        <v>12245.494131305342</v>
      </c>
      <c r="S22" s="14">
        <f t="shared" si="0"/>
        <v>22345.60353881471</v>
      </c>
      <c r="T22" s="18">
        <v>67838.09</v>
      </c>
      <c r="U22" s="14">
        <f t="shared" si="4"/>
        <v>33246.99232987994</v>
      </c>
      <c r="V22" s="14">
        <v>0</v>
      </c>
      <c r="W22" s="19">
        <f t="shared" si="1"/>
        <v>0.490093351114498</v>
      </c>
      <c r="X22" s="19">
        <f t="shared" si="5"/>
        <v>4164.760779759569</v>
      </c>
      <c r="Y22" s="19">
        <f t="shared" si="6"/>
        <v>8497.892840799992</v>
      </c>
      <c r="Z22" s="19">
        <f t="shared" si="7"/>
        <v>0.3293960754429415</v>
      </c>
      <c r="AA22" s="19">
        <f t="shared" si="8"/>
        <v>2799.1725512941866</v>
      </c>
      <c r="AB22" s="19">
        <f t="shared" si="9"/>
        <v>6963.933331053756</v>
      </c>
      <c r="AC22" s="19">
        <f t="shared" si="10"/>
        <v>22345.60353881471</v>
      </c>
      <c r="AD22" s="14">
        <f t="shared" si="11"/>
        <v>55592.595868694654</v>
      </c>
      <c r="AE22" s="20">
        <f t="shared" si="12"/>
        <v>12245.494131305342</v>
      </c>
      <c r="AF22" s="20">
        <f t="shared" si="13"/>
        <v>5281.560800251586</v>
      </c>
      <c r="AG22" s="21">
        <v>8497.89</v>
      </c>
      <c r="AH22" s="22">
        <f t="shared" si="14"/>
        <v>3747.604131305343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4:55" s="24" customFormat="1" ht="19.5" customHeight="1" thickBot="1">
      <c r="D23" s="10">
        <v>17</v>
      </c>
      <c r="E23" s="25" t="s">
        <v>29</v>
      </c>
      <c r="F23" s="25">
        <v>154</v>
      </c>
      <c r="G23" s="25">
        <v>324.3</v>
      </c>
      <c r="H23" s="27">
        <v>324.3618</v>
      </c>
      <c r="I23" s="13">
        <v>10.29</v>
      </c>
      <c r="J23" s="13">
        <v>3.79</v>
      </c>
      <c r="K23" s="13">
        <v>6.916</v>
      </c>
      <c r="L23" s="14">
        <f t="shared" si="15"/>
        <v>20.996</v>
      </c>
      <c r="M23" s="15">
        <f>H23*I23*16-0.01</f>
        <v>53402.916752</v>
      </c>
      <c r="N23" s="16">
        <f>J23*H23*16</f>
        <v>19669.299552</v>
      </c>
      <c r="O23" s="17">
        <f>H23*K23*16</f>
        <v>35892.5793408</v>
      </c>
      <c r="P23" s="14">
        <f t="shared" si="16"/>
        <v>108964.7956448</v>
      </c>
      <c r="Q23" s="17">
        <f t="shared" si="2"/>
        <v>37512.3296245382</v>
      </c>
      <c r="R23" s="14">
        <f t="shared" si="3"/>
        <v>13816.497171959669</v>
      </c>
      <c r="S23" s="14">
        <f t="shared" si="0"/>
        <v>25212.37320350213</v>
      </c>
      <c r="T23" s="18">
        <v>76541.2</v>
      </c>
      <c r="U23" s="14">
        <f t="shared" si="4"/>
        <v>37512.3296245382</v>
      </c>
      <c r="V23" s="14">
        <v>0</v>
      </c>
      <c r="W23" s="19">
        <f t="shared" si="1"/>
        <v>0.490093351114498</v>
      </c>
      <c r="X23" s="19">
        <f t="shared" si="5"/>
        <v>15890.588644741478</v>
      </c>
      <c r="Y23" s="19">
        <f t="shared" si="6"/>
        <v>32423.595644800007</v>
      </c>
      <c r="Z23" s="19">
        <f t="shared" si="7"/>
        <v>0.3293960754429415</v>
      </c>
      <c r="AA23" s="19">
        <f t="shared" si="8"/>
        <v>10680.205157145974</v>
      </c>
      <c r="AB23" s="19">
        <f t="shared" si="9"/>
        <v>26570.793801887452</v>
      </c>
      <c r="AC23" s="19">
        <f t="shared" si="10"/>
        <v>25212.37320350213</v>
      </c>
      <c r="AD23" s="14">
        <f t="shared" si="11"/>
        <v>62724.70282804033</v>
      </c>
      <c r="AE23" s="20">
        <f t="shared" si="12"/>
        <v>13816.497171959669</v>
      </c>
      <c r="AF23" s="20">
        <f t="shared" si="13"/>
        <v>-12754.296629927783</v>
      </c>
      <c r="AG23" s="21">
        <v>32423.22</v>
      </c>
      <c r="AH23" s="22">
        <f t="shared" si="14"/>
        <v>-18606.722828040332</v>
      </c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4:55" s="24" customFormat="1" ht="21" customHeight="1" thickBot="1">
      <c r="D24" s="10">
        <v>18</v>
      </c>
      <c r="E24" s="25" t="s">
        <v>29</v>
      </c>
      <c r="F24" s="25">
        <v>156</v>
      </c>
      <c r="G24" s="25">
        <v>336.1</v>
      </c>
      <c r="H24" s="27">
        <v>328.4688</v>
      </c>
      <c r="I24" s="13">
        <v>10.29</v>
      </c>
      <c r="J24" s="13">
        <v>3.79</v>
      </c>
      <c r="K24" s="13">
        <v>6.916</v>
      </c>
      <c r="L24" s="14">
        <f t="shared" si="15"/>
        <v>20.996</v>
      </c>
      <c r="M24" s="15">
        <f>H24*I24*16+0.01</f>
        <v>54079.113231999996</v>
      </c>
      <c r="N24" s="16">
        <f>J24*H24*16</f>
        <v>19918.348031999998</v>
      </c>
      <c r="O24" s="17">
        <f>H24*K24*16</f>
        <v>36347.0435328</v>
      </c>
      <c r="P24" s="14">
        <f t="shared" si="16"/>
        <v>110344.5047968</v>
      </c>
      <c r="Q24" s="17">
        <f t="shared" si="2"/>
        <v>44008.42670618881</v>
      </c>
      <c r="R24" s="14">
        <f t="shared" si="3"/>
        <v>16209.125983891689</v>
      </c>
      <c r="S24" s="14">
        <f t="shared" si="0"/>
        <v>29578.44730991951</v>
      </c>
      <c r="T24" s="18">
        <v>89796</v>
      </c>
      <c r="U24" s="14">
        <f t="shared" si="4"/>
        <v>44008.42670618881</v>
      </c>
      <c r="V24" s="14">
        <v>0</v>
      </c>
      <c r="W24" s="19">
        <f t="shared" si="1"/>
        <v>0.490093351114498</v>
      </c>
      <c r="X24" s="19">
        <f t="shared" si="5"/>
        <v>10070.685576256048</v>
      </c>
      <c r="Y24" s="19">
        <f t="shared" si="6"/>
        <v>20548.5047968</v>
      </c>
      <c r="Z24" s="19">
        <f t="shared" si="7"/>
        <v>0.3293960754429415</v>
      </c>
      <c r="AA24" s="19">
        <f t="shared" si="8"/>
        <v>6768.596836286379</v>
      </c>
      <c r="AB24" s="19">
        <f t="shared" si="9"/>
        <v>16839.282412542427</v>
      </c>
      <c r="AC24" s="19">
        <f t="shared" si="10"/>
        <v>29578.44730991951</v>
      </c>
      <c r="AD24" s="14">
        <f t="shared" si="11"/>
        <v>73586.87401610831</v>
      </c>
      <c r="AE24" s="20">
        <f t="shared" si="12"/>
        <v>16209.125983891689</v>
      </c>
      <c r="AF24" s="20">
        <f t="shared" si="13"/>
        <v>-630.1564286507382</v>
      </c>
      <c r="AG24" s="21">
        <v>20548.5</v>
      </c>
      <c r="AH24" s="22">
        <f t="shared" si="14"/>
        <v>-4339.3740161083115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4:55" s="24" customFormat="1" ht="20.25" customHeight="1" thickBot="1">
      <c r="D25" s="10">
        <v>19</v>
      </c>
      <c r="E25" s="25" t="s">
        <v>29</v>
      </c>
      <c r="F25" s="25">
        <v>158</v>
      </c>
      <c r="G25" s="25">
        <v>323.4</v>
      </c>
      <c r="H25" s="27">
        <v>323.42</v>
      </c>
      <c r="I25" s="13">
        <v>10.29</v>
      </c>
      <c r="J25" s="13">
        <v>3.79</v>
      </c>
      <c r="K25" s="13">
        <v>6.916</v>
      </c>
      <c r="L25" s="14">
        <f t="shared" si="15"/>
        <v>20.996</v>
      </c>
      <c r="M25" s="15">
        <f>H25*I25*16-0.11</f>
        <v>53247.758799999996</v>
      </c>
      <c r="N25" s="16">
        <f>J25*H25*16</f>
        <v>19612.1888</v>
      </c>
      <c r="O25" s="17">
        <f>H25*K25*16</f>
        <v>35788.363520000006</v>
      </c>
      <c r="P25" s="14">
        <f t="shared" si="16"/>
        <v>108648.31112</v>
      </c>
      <c r="Q25" s="17">
        <f t="shared" si="2"/>
        <v>30953.043118859187</v>
      </c>
      <c r="R25" s="14">
        <f t="shared" si="3"/>
        <v>11400.609889736941</v>
      </c>
      <c r="S25" s="14">
        <f t="shared" si="0"/>
        <v>20803.856991403878</v>
      </c>
      <c r="T25" s="18">
        <v>63157.51</v>
      </c>
      <c r="U25" s="14">
        <f t="shared" si="4"/>
        <v>30953.043118859187</v>
      </c>
      <c r="V25" s="14">
        <v>17416.55</v>
      </c>
      <c r="W25" s="19">
        <f t="shared" si="1"/>
        <v>0.490093351114498</v>
      </c>
      <c r="X25" s="19">
        <f t="shared" si="5"/>
        <v>22294.739165783954</v>
      </c>
      <c r="Y25" s="19">
        <f t="shared" si="6"/>
        <v>45490.80112</v>
      </c>
      <c r="Z25" s="19">
        <f t="shared" si="7"/>
        <v>0.3293960754429415</v>
      </c>
      <c r="AA25" s="19">
        <f t="shared" si="8"/>
        <v>14984.491357683368</v>
      </c>
      <c r="AB25" s="19">
        <f t="shared" si="9"/>
        <v>54695.780523467314</v>
      </c>
      <c r="AC25" s="19">
        <f t="shared" si="10"/>
        <v>20803.856991403878</v>
      </c>
      <c r="AD25" s="14">
        <f t="shared" si="11"/>
        <v>69173.45011026306</v>
      </c>
      <c r="AE25" s="20">
        <f t="shared" si="12"/>
        <v>-6015.940110263058</v>
      </c>
      <c r="AF25" s="20">
        <f t="shared" si="13"/>
        <v>-60711.72063373037</v>
      </c>
      <c r="AG25" s="21">
        <v>45490.62</v>
      </c>
      <c r="AH25" s="22">
        <f t="shared" si="14"/>
        <v>-51506.56011026306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4:55" s="24" customFormat="1" ht="21.75" customHeight="1" thickBot="1">
      <c r="D26" s="10">
        <v>20</v>
      </c>
      <c r="E26" s="25" t="s">
        <v>29</v>
      </c>
      <c r="F26" s="25">
        <v>160</v>
      </c>
      <c r="G26" s="25">
        <v>326.65</v>
      </c>
      <c r="H26" s="27">
        <v>326.8274</v>
      </c>
      <c r="I26" s="13">
        <v>10.29</v>
      </c>
      <c r="J26" s="13">
        <v>3.79</v>
      </c>
      <c r="K26" s="13">
        <v>6.916</v>
      </c>
      <c r="L26" s="14">
        <f t="shared" si="15"/>
        <v>20.996</v>
      </c>
      <c r="M26" s="15">
        <f>H26*I26*11+0.01</f>
        <v>36993.603406</v>
      </c>
      <c r="N26" s="16">
        <f>J26*H26*11</f>
        <v>13625.434306000001</v>
      </c>
      <c r="O26" s="17">
        <f>H26*K26*11</f>
        <v>24863.7212824</v>
      </c>
      <c r="P26" s="14">
        <f t="shared" si="16"/>
        <v>75482.7589944</v>
      </c>
      <c r="Q26" s="17">
        <f t="shared" si="2"/>
        <v>23549.21911086711</v>
      </c>
      <c r="R26" s="14">
        <f t="shared" si="3"/>
        <v>8673.616744798584</v>
      </c>
      <c r="S26" s="14">
        <f t="shared" si="0"/>
        <v>15827.634144334303</v>
      </c>
      <c r="T26" s="18">
        <v>48050.47</v>
      </c>
      <c r="U26" s="14">
        <f t="shared" si="4"/>
        <v>23549.21911086711</v>
      </c>
      <c r="V26" s="14">
        <v>0</v>
      </c>
      <c r="W26" s="19">
        <f t="shared" si="1"/>
        <v>0.490093351114498</v>
      </c>
      <c r="X26" s="19">
        <f t="shared" si="5"/>
        <v>13444.382442006861</v>
      </c>
      <c r="Y26" s="19">
        <f t="shared" si="6"/>
        <v>27432.288994400005</v>
      </c>
      <c r="Z26" s="19">
        <f t="shared" si="7"/>
        <v>0.3293960754429415</v>
      </c>
      <c r="AA26" s="19">
        <f t="shared" si="8"/>
        <v>9036.088335171959</v>
      </c>
      <c r="AB26" s="19">
        <f t="shared" si="9"/>
        <v>22480.47077717882</v>
      </c>
      <c r="AC26" s="19">
        <f t="shared" si="10"/>
        <v>15827.634144334303</v>
      </c>
      <c r="AD26" s="14">
        <f t="shared" si="11"/>
        <v>39376.853255201415</v>
      </c>
      <c r="AE26" s="20">
        <f t="shared" si="12"/>
        <v>8673.616744798584</v>
      </c>
      <c r="AF26" s="20">
        <f t="shared" si="13"/>
        <v>-13806.854032380235</v>
      </c>
      <c r="AG26" s="21">
        <v>27432.29</v>
      </c>
      <c r="AH26" s="22">
        <f t="shared" si="14"/>
        <v>-18758.673255201415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4:55" s="24" customFormat="1" ht="24" customHeight="1" thickBot="1">
      <c r="D27" s="10">
        <v>21</v>
      </c>
      <c r="E27" s="25" t="s">
        <v>29</v>
      </c>
      <c r="F27" s="25">
        <v>162</v>
      </c>
      <c r="G27" s="25">
        <v>340.05</v>
      </c>
      <c r="H27" s="27">
        <v>398.3455</v>
      </c>
      <c r="I27" s="13">
        <v>10.29</v>
      </c>
      <c r="J27" s="13">
        <v>3.79</v>
      </c>
      <c r="K27" s="13">
        <v>6.916</v>
      </c>
      <c r="L27" s="14">
        <f t="shared" si="15"/>
        <v>20.996</v>
      </c>
      <c r="M27" s="15">
        <f>H27*I27*11+0.01</f>
        <v>45088.737145</v>
      </c>
      <c r="N27" s="16">
        <f>J27*H27*11</f>
        <v>16607.023895000002</v>
      </c>
      <c r="O27" s="17">
        <f>H27*K27*11</f>
        <v>30304.532258000003</v>
      </c>
      <c r="P27" s="14">
        <f t="shared" si="16"/>
        <v>92000.293298</v>
      </c>
      <c r="Q27" s="17">
        <f t="shared" si="2"/>
        <v>45088.73552867194</v>
      </c>
      <c r="R27" s="14">
        <f t="shared" si="3"/>
        <v>16607.023299676195</v>
      </c>
      <c r="S27" s="14">
        <f t="shared" si="0"/>
        <v>30304.531171651863</v>
      </c>
      <c r="T27" s="18">
        <v>92000.29</v>
      </c>
      <c r="U27" s="14">
        <f t="shared" si="4"/>
        <v>45088.73552867194</v>
      </c>
      <c r="V27" s="14">
        <v>16603.86</v>
      </c>
      <c r="W27" s="19">
        <f t="shared" si="1"/>
        <v>0.490093351114498</v>
      </c>
      <c r="X27" s="19"/>
      <c r="Y27" s="19">
        <f t="shared" si="6"/>
        <v>0.0032980000105453655</v>
      </c>
      <c r="Z27" s="19">
        <f t="shared" si="7"/>
        <v>0.3293960754429415</v>
      </c>
      <c r="AA27" s="19"/>
      <c r="AB27" s="19">
        <f t="shared" si="9"/>
        <v>16603.86</v>
      </c>
      <c r="AC27" s="19">
        <f t="shared" si="10"/>
        <v>30304.531171651863</v>
      </c>
      <c r="AD27" s="14">
        <f t="shared" si="11"/>
        <v>91997.1267003238</v>
      </c>
      <c r="AE27" s="20">
        <f t="shared" si="12"/>
        <v>3.1632996761945833</v>
      </c>
      <c r="AF27" s="20">
        <f t="shared" si="13"/>
        <v>-16600.696700323806</v>
      </c>
      <c r="AG27" s="21">
        <f>P27-T27</f>
        <v>0.0032980000105453655</v>
      </c>
      <c r="AH27" s="22">
        <f t="shared" si="14"/>
        <v>3.160001676184038</v>
      </c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4:55" s="24" customFormat="1" ht="22.5" customHeight="1" thickBot="1">
      <c r="D28" s="10">
        <v>22</v>
      </c>
      <c r="E28" s="25" t="s">
        <v>30</v>
      </c>
      <c r="F28" s="25">
        <v>7</v>
      </c>
      <c r="G28" s="25">
        <v>730.7</v>
      </c>
      <c r="H28" s="27">
        <v>730.4</v>
      </c>
      <c r="I28" s="13">
        <v>16.57</v>
      </c>
      <c r="J28" s="13">
        <v>2.514</v>
      </c>
      <c r="K28" s="13">
        <v>6.916</v>
      </c>
      <c r="L28" s="14">
        <f t="shared" si="15"/>
        <v>26</v>
      </c>
      <c r="M28" s="15">
        <f>H28*I28*11</f>
        <v>133130.008</v>
      </c>
      <c r="N28" s="16">
        <f>J28*H28*11</f>
        <v>20198.4816</v>
      </c>
      <c r="O28" s="17">
        <f>H28*K28*11</f>
        <v>55565.9104</v>
      </c>
      <c r="P28" s="14">
        <f t="shared" si="16"/>
        <v>208894.4</v>
      </c>
      <c r="Q28" s="17">
        <f t="shared" si="2"/>
        <v>110819.98155384617</v>
      </c>
      <c r="R28" s="14">
        <f t="shared" si="3"/>
        <v>16813.604926153846</v>
      </c>
      <c r="S28" s="14">
        <f t="shared" si="0"/>
        <v>46254.13352</v>
      </c>
      <c r="T28" s="18">
        <v>173887.72</v>
      </c>
      <c r="U28" s="14">
        <f t="shared" si="4"/>
        <v>110819.98155384617</v>
      </c>
      <c r="V28" s="14">
        <v>0</v>
      </c>
      <c r="W28" s="19">
        <f t="shared" si="1"/>
        <v>0.6373076923076924</v>
      </c>
      <c r="X28" s="19">
        <f t="shared" si="5"/>
        <v>22310.026446153843</v>
      </c>
      <c r="Y28" s="19">
        <f t="shared" si="6"/>
        <v>35006.67999999999</v>
      </c>
      <c r="Z28" s="19">
        <f t="shared" si="7"/>
        <v>0.266</v>
      </c>
      <c r="AA28" s="19">
        <f t="shared" si="8"/>
        <v>9311.77688</v>
      </c>
      <c r="AB28" s="19">
        <f t="shared" si="9"/>
        <v>31621.803326153844</v>
      </c>
      <c r="AC28" s="19">
        <f t="shared" si="10"/>
        <v>46254.13352</v>
      </c>
      <c r="AD28" s="14">
        <f t="shared" si="11"/>
        <v>157074.1150738462</v>
      </c>
      <c r="AE28" s="20">
        <f t="shared" si="12"/>
        <v>16813.604926153846</v>
      </c>
      <c r="AF28" s="20">
        <f t="shared" si="13"/>
        <v>-14808.198399999997</v>
      </c>
      <c r="AG28" s="21">
        <v>35006.68</v>
      </c>
      <c r="AH28" s="22">
        <f t="shared" si="14"/>
        <v>-18193.075073846154</v>
      </c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4:55" s="24" customFormat="1" ht="21.75" customHeight="1" thickBot="1">
      <c r="D29" s="10">
        <v>23</v>
      </c>
      <c r="E29" s="25" t="s">
        <v>30</v>
      </c>
      <c r="F29" s="25">
        <v>9</v>
      </c>
      <c r="G29" s="25">
        <v>725.7</v>
      </c>
      <c r="H29" s="27">
        <v>725.5085</v>
      </c>
      <c r="I29" s="13">
        <v>16.57</v>
      </c>
      <c r="J29" s="13">
        <v>2.514</v>
      </c>
      <c r="K29" s="13">
        <v>6.916</v>
      </c>
      <c r="L29" s="14">
        <f t="shared" si="15"/>
        <v>26</v>
      </c>
      <c r="M29" s="15">
        <f>H29*I29*11-0.01</f>
        <v>132238.42429499998</v>
      </c>
      <c r="N29" s="16">
        <f>J29*H29*11</f>
        <v>20063.212059</v>
      </c>
      <c r="O29" s="17">
        <f>H29*K29*11</f>
        <v>55193.78464600001</v>
      </c>
      <c r="P29" s="14">
        <f t="shared" si="16"/>
        <v>207495.421</v>
      </c>
      <c r="Q29" s="17">
        <f t="shared" si="2"/>
        <v>91042.33933758347</v>
      </c>
      <c r="R29" s="14">
        <f t="shared" si="3"/>
        <v>13812.942571083251</v>
      </c>
      <c r="S29" s="14">
        <f t="shared" si="0"/>
        <v>37999.32809133324</v>
      </c>
      <c r="T29" s="18">
        <v>142854.61</v>
      </c>
      <c r="U29" s="14">
        <f t="shared" si="4"/>
        <v>91042.33933758347</v>
      </c>
      <c r="V29" s="14">
        <v>0</v>
      </c>
      <c r="W29" s="19">
        <f t="shared" si="1"/>
        <v>0.6373076923076924</v>
      </c>
      <c r="X29" s="19">
        <f t="shared" si="5"/>
        <v>41196.0860873077</v>
      </c>
      <c r="Y29" s="19">
        <f t="shared" si="6"/>
        <v>64640.811000000016</v>
      </c>
      <c r="Z29" s="19">
        <f t="shared" si="7"/>
        <v>0.266</v>
      </c>
      <c r="AA29" s="19">
        <f t="shared" si="8"/>
        <v>17194.455726000004</v>
      </c>
      <c r="AB29" s="19">
        <f t="shared" si="9"/>
        <v>58390.541813307704</v>
      </c>
      <c r="AC29" s="19">
        <f t="shared" si="10"/>
        <v>37999.32809133324</v>
      </c>
      <c r="AD29" s="14">
        <f t="shared" si="11"/>
        <v>129041.66742891671</v>
      </c>
      <c r="AE29" s="20">
        <f t="shared" si="12"/>
        <v>13812.942571083251</v>
      </c>
      <c r="AF29" s="20">
        <f t="shared" si="13"/>
        <v>-44577.59924222445</v>
      </c>
      <c r="AG29" s="21">
        <v>64640.81</v>
      </c>
      <c r="AH29" s="22">
        <f t="shared" si="14"/>
        <v>-50827.86742891675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4:55" s="24" customFormat="1" ht="21.75" customHeight="1" thickBot="1">
      <c r="D30" s="10">
        <v>24</v>
      </c>
      <c r="E30" s="25" t="s">
        <v>30</v>
      </c>
      <c r="F30" s="25">
        <v>11</v>
      </c>
      <c r="G30" s="25">
        <v>1001.95</v>
      </c>
      <c r="H30" s="27">
        <v>879.0098</v>
      </c>
      <c r="I30" s="13">
        <v>16.57</v>
      </c>
      <c r="J30" s="13">
        <v>2.514</v>
      </c>
      <c r="K30" s="13">
        <v>6.916</v>
      </c>
      <c r="L30" s="14">
        <f t="shared" si="15"/>
        <v>26</v>
      </c>
      <c r="M30" s="15">
        <f>H30*I30*11-0.01+19293.2795</f>
        <v>179510.385746</v>
      </c>
      <c r="N30" s="16">
        <f>J30*H30*11+2927.1759</f>
        <v>27235.312909199994</v>
      </c>
      <c r="O30" s="17">
        <f>H30*K30*11+8052.6446</f>
        <v>74924.1941448</v>
      </c>
      <c r="P30" s="14">
        <f t="shared" si="16"/>
        <v>281669.89280000003</v>
      </c>
      <c r="Q30" s="17">
        <f t="shared" si="2"/>
        <v>165167.8383667075</v>
      </c>
      <c r="R30" s="14">
        <f t="shared" si="3"/>
        <v>25059.26184582155</v>
      </c>
      <c r="S30" s="14">
        <f t="shared" si="0"/>
        <v>68937.88978747091</v>
      </c>
      <c r="T30" s="18">
        <v>259164.99</v>
      </c>
      <c r="U30" s="14">
        <f t="shared" si="4"/>
        <v>165167.8383667075</v>
      </c>
      <c r="V30" s="14">
        <v>25059.26</v>
      </c>
      <c r="W30" s="19">
        <f t="shared" si="1"/>
        <v>0.6373076923076924</v>
      </c>
      <c r="X30" s="19"/>
      <c r="Y30" s="19">
        <f t="shared" si="6"/>
        <v>22504.90280000004</v>
      </c>
      <c r="Z30" s="19">
        <f t="shared" si="7"/>
        <v>0.266</v>
      </c>
      <c r="AA30" s="19"/>
      <c r="AB30" s="19">
        <f t="shared" si="9"/>
        <v>25059.26</v>
      </c>
      <c r="AC30" s="19">
        <f t="shared" si="10"/>
        <v>68937.88978747091</v>
      </c>
      <c r="AD30" s="14">
        <f t="shared" si="11"/>
        <v>259164.98815417843</v>
      </c>
      <c r="AE30" s="20">
        <f t="shared" si="12"/>
        <v>0.0018458215527061839</v>
      </c>
      <c r="AF30" s="20">
        <f t="shared" si="13"/>
        <v>-25059.258154178446</v>
      </c>
      <c r="AG30" s="21">
        <v>16263.6</v>
      </c>
      <c r="AH30" s="22">
        <f t="shared" si="14"/>
        <v>-16263.598154178448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5:55" ht="15.75" thickBot="1">
      <c r="E31" s="32" t="s">
        <v>17</v>
      </c>
      <c r="F31" s="33"/>
      <c r="G31" s="33">
        <f aca="true" t="shared" si="19" ref="G31:L31">SUM(G7:G30)</f>
        <v>11103.650000000001</v>
      </c>
      <c r="H31" s="34">
        <f t="shared" si="19"/>
        <v>10233.427099999999</v>
      </c>
      <c r="I31" s="35">
        <f t="shared" si="19"/>
        <v>302.9199999999999</v>
      </c>
      <c r="J31" s="35">
        <f t="shared" si="19"/>
        <v>82.05099999999999</v>
      </c>
      <c r="K31" s="35">
        <f t="shared" si="19"/>
        <v>165.98399999999995</v>
      </c>
      <c r="L31" s="36">
        <f t="shared" si="19"/>
        <v>550.9549999999999</v>
      </c>
      <c r="M31" s="15">
        <f>SUM(M7:M30)</f>
        <v>1687622.159152525</v>
      </c>
      <c r="N31" s="16">
        <f>SUM(N7:N30)</f>
        <v>403857.67829794006</v>
      </c>
      <c r="O31" s="17">
        <f>SUM(O7:O30)</f>
        <v>866979.9772932348</v>
      </c>
      <c r="P31" s="14">
        <f>SUM(P7:P30)</f>
        <v>2958459.8147436995</v>
      </c>
      <c r="Q31" s="17">
        <f t="shared" si="2"/>
        <v>1382394.421553332</v>
      </c>
      <c r="R31" s="14">
        <f>SUM(R7:R30)</f>
        <v>321914.1845992207</v>
      </c>
      <c r="S31" s="14">
        <f t="shared" si="0"/>
        <v>710175.7213299796</v>
      </c>
      <c r="T31" s="36">
        <f>SUM(T7:T30)</f>
        <v>2423385.0700000003</v>
      </c>
      <c r="U31" s="14">
        <f>SUM(U7:U30)</f>
        <v>1397149.9256566535</v>
      </c>
      <c r="V31" s="36">
        <f>SUM(V7:V30)</f>
        <v>101001.09999999999</v>
      </c>
      <c r="W31" s="36">
        <f aca="true" t="shared" si="20" ref="W31:AH31">SUM(W7:W30)</f>
        <v>13.058291008271619</v>
      </c>
      <c r="X31" s="36">
        <f t="shared" si="20"/>
        <v>247080.05634479102</v>
      </c>
      <c r="Y31" s="36">
        <f t="shared" si="20"/>
        <v>535074.7447437</v>
      </c>
      <c r="Z31" s="36">
        <f t="shared" si="20"/>
        <v>7.289546432178778</v>
      </c>
      <c r="AA31" s="36">
        <f t="shared" si="20"/>
        <v>141035.2775232963</v>
      </c>
      <c r="AB31" s="36">
        <f t="shared" si="20"/>
        <v>489116.43386808725</v>
      </c>
      <c r="AC31" s="19">
        <f t="shared" si="20"/>
        <v>704320.9597441258</v>
      </c>
      <c r="AD31" s="14">
        <f t="shared" si="20"/>
        <v>2202471.9854007787</v>
      </c>
      <c r="AE31" s="20">
        <f t="shared" si="20"/>
        <v>220913.08459922072</v>
      </c>
      <c r="AF31" s="37">
        <f t="shared" si="20"/>
        <v>-241476.5492688666</v>
      </c>
      <c r="AG31" s="21">
        <f t="shared" si="20"/>
        <v>528832.773298</v>
      </c>
      <c r="AH31" s="22">
        <f t="shared" si="20"/>
        <v>-307919.68869877927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2:55" ht="15">
      <c r="L32" s="3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33:55" ht="12.75"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33:55" ht="12.75"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33:55" ht="12.75"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33:55" ht="12.75"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33:55" ht="12.75"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33:55" ht="12.75"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33:55" ht="12.75"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33:55" ht="12.7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33:55" ht="12.75"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33:55" ht="12.75"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33:55" ht="12.75"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33:55" ht="12.75"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33:55" ht="12.75"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33:55" ht="12.75"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33:55" ht="12.75"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33:55" ht="12.75"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33:55" ht="12.75"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33:55" ht="12.75"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33:55" ht="12.75"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33:55" ht="12.75"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5:55" ht="12.75">
      <c r="E53" s="4"/>
      <c r="F53" s="4"/>
      <c r="G53" s="4"/>
      <c r="H53" s="40"/>
      <c r="I53" s="4"/>
      <c r="J53" s="4"/>
      <c r="K53" s="4"/>
      <c r="L53" s="4"/>
      <c r="M53" s="4"/>
      <c r="N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5:55" ht="15.75">
      <c r="E54" s="41"/>
      <c r="F54" s="41"/>
      <c r="G54" s="41"/>
      <c r="H54" s="42"/>
      <c r="I54" s="41"/>
      <c r="J54" s="4"/>
      <c r="K54" s="4"/>
      <c r="L54" s="4"/>
      <c r="M54" s="4"/>
      <c r="N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5:55" ht="15.75">
      <c r="E55" s="41"/>
      <c r="F55" s="41"/>
      <c r="G55" s="41"/>
      <c r="H55" s="42"/>
      <c r="I55" s="41"/>
      <c r="J55" s="4"/>
      <c r="K55" s="4"/>
      <c r="L55" s="4"/>
      <c r="M55" s="4"/>
      <c r="N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5:55" ht="15.75">
      <c r="E56" s="41"/>
      <c r="F56" s="41"/>
      <c r="G56" s="41"/>
      <c r="H56" s="42"/>
      <c r="I56" s="41"/>
      <c r="J56" s="4"/>
      <c r="K56" s="4"/>
      <c r="L56" s="4"/>
      <c r="M56" s="4"/>
      <c r="N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5:55" ht="15.75">
      <c r="E57" s="41"/>
      <c r="F57" s="41"/>
      <c r="G57" s="41"/>
      <c r="H57" s="42"/>
      <c r="I57" s="41"/>
      <c r="J57" s="4"/>
      <c r="K57" s="4"/>
      <c r="L57" s="4"/>
      <c r="M57" s="4"/>
      <c r="N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5:55" ht="15.75">
      <c r="E58" s="41"/>
      <c r="F58" s="41"/>
      <c r="G58" s="41"/>
      <c r="H58" s="42"/>
      <c r="I58" s="41"/>
      <c r="J58" s="4"/>
      <c r="K58" s="4"/>
      <c r="L58" s="4"/>
      <c r="M58" s="4"/>
      <c r="N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5:55" ht="15.75">
      <c r="E59" s="41"/>
      <c r="F59" s="41"/>
      <c r="G59" s="41"/>
      <c r="H59" s="42"/>
      <c r="I59" s="41"/>
      <c r="J59" s="4"/>
      <c r="K59" s="4"/>
      <c r="L59" s="4"/>
      <c r="M59" s="4"/>
      <c r="N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5:55" ht="15.75">
      <c r="E60" s="41"/>
      <c r="F60" s="41"/>
      <c r="G60" s="41"/>
      <c r="H60" s="42"/>
      <c r="I60" s="41"/>
      <c r="J60" s="4"/>
      <c r="K60" s="4"/>
      <c r="L60" s="4"/>
      <c r="M60" s="4"/>
      <c r="N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5:55" ht="15.75">
      <c r="E61" s="41"/>
      <c r="F61" s="41"/>
      <c r="G61" s="41"/>
      <c r="H61" s="42"/>
      <c r="I61" s="41"/>
      <c r="J61" s="4"/>
      <c r="K61" s="4"/>
      <c r="L61" s="4"/>
      <c r="M61" s="4"/>
      <c r="N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5:55" ht="15.75">
      <c r="E62" s="41"/>
      <c r="F62" s="41"/>
      <c r="G62" s="41"/>
      <c r="H62" s="42"/>
      <c r="I62" s="41"/>
      <c r="J62" s="4"/>
      <c r="K62" s="4"/>
      <c r="L62" s="4"/>
      <c r="M62" s="4"/>
      <c r="N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5:55" ht="15.75">
      <c r="E63" s="41"/>
      <c r="F63" s="41"/>
      <c r="G63" s="41"/>
      <c r="H63" s="42"/>
      <c r="I63" s="41"/>
      <c r="J63" s="4"/>
      <c r="K63" s="4"/>
      <c r="L63" s="4"/>
      <c r="M63" s="4"/>
      <c r="N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5:55" ht="15.75">
      <c r="E64" s="41"/>
      <c r="F64" s="41"/>
      <c r="G64" s="41"/>
      <c r="H64" s="42"/>
      <c r="I64" s="41"/>
      <c r="J64" s="4"/>
      <c r="K64" s="4"/>
      <c r="L64" s="4"/>
      <c r="M64" s="4"/>
      <c r="N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5:55" ht="15.75">
      <c r="E65" s="41"/>
      <c r="F65" s="41"/>
      <c r="G65" s="41"/>
      <c r="H65" s="42"/>
      <c r="I65" s="41"/>
      <c r="J65" s="4"/>
      <c r="K65" s="4"/>
      <c r="L65" s="4"/>
      <c r="M65" s="4"/>
      <c r="N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5:55" ht="15.75">
      <c r="E66" s="41"/>
      <c r="F66" s="41"/>
      <c r="G66" s="41"/>
      <c r="H66" s="42"/>
      <c r="I66" s="41"/>
      <c r="J66" s="4"/>
      <c r="K66" s="4"/>
      <c r="L66" s="4"/>
      <c r="M66" s="4"/>
      <c r="N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5:55" ht="15.75">
      <c r="E67" s="41"/>
      <c r="F67" s="41"/>
      <c r="G67" s="41"/>
      <c r="H67" s="42"/>
      <c r="I67" s="41"/>
      <c r="J67" s="4"/>
      <c r="K67" s="4"/>
      <c r="L67" s="4"/>
      <c r="M67" s="4"/>
      <c r="N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5:55" ht="15.75">
      <c r="E68" s="41"/>
      <c r="F68" s="41"/>
      <c r="G68" s="41"/>
      <c r="H68" s="42"/>
      <c r="I68" s="41"/>
      <c r="J68" s="4"/>
      <c r="K68" s="4"/>
      <c r="L68" s="4"/>
      <c r="M68" s="4"/>
      <c r="N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5:55" ht="15.75">
      <c r="E69" s="41"/>
      <c r="F69" s="41"/>
      <c r="G69" s="41"/>
      <c r="H69" s="42"/>
      <c r="I69" s="41"/>
      <c r="J69" s="4"/>
      <c r="K69" s="4"/>
      <c r="L69" s="4"/>
      <c r="M69" s="4"/>
      <c r="N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5:14" ht="15.75">
      <c r="E70" s="41"/>
      <c r="F70" s="41"/>
      <c r="G70" s="41"/>
      <c r="H70" s="42"/>
      <c r="I70" s="41"/>
      <c r="J70" s="4"/>
      <c r="K70" s="4"/>
      <c r="L70" s="4"/>
      <c r="M70" s="4"/>
      <c r="N70" s="4"/>
    </row>
    <row r="71" spans="5:14" ht="15.75">
      <c r="E71" s="41"/>
      <c r="F71" s="41"/>
      <c r="G71" s="41"/>
      <c r="H71" s="42"/>
      <c r="I71" s="41"/>
      <c r="J71" s="4"/>
      <c r="K71" s="4"/>
      <c r="L71" s="4"/>
      <c r="M71" s="4"/>
      <c r="N71" s="4"/>
    </row>
    <row r="72" spans="5:14" ht="15.75">
      <c r="E72" s="41"/>
      <c r="F72" s="41"/>
      <c r="G72" s="41"/>
      <c r="H72" s="42"/>
      <c r="I72" s="41"/>
      <c r="J72" s="4"/>
      <c r="K72" s="4"/>
      <c r="L72" s="4"/>
      <c r="M72" s="4"/>
      <c r="N72" s="4"/>
    </row>
    <row r="73" spans="5:14" ht="15.75">
      <c r="E73" s="41"/>
      <c r="F73" s="41"/>
      <c r="G73" s="41"/>
      <c r="H73" s="42"/>
      <c r="I73" s="41"/>
      <c r="J73" s="4"/>
      <c r="K73" s="4"/>
      <c r="L73" s="4"/>
      <c r="M73" s="4"/>
      <c r="N73" s="4"/>
    </row>
    <row r="74" spans="5:14" ht="15.75">
      <c r="E74" s="41"/>
      <c r="F74" s="41"/>
      <c r="G74" s="41"/>
      <c r="H74" s="42"/>
      <c r="I74" s="41"/>
      <c r="J74" s="4"/>
      <c r="K74" s="4"/>
      <c r="L74" s="4"/>
      <c r="M74" s="4"/>
      <c r="N74" s="4"/>
    </row>
    <row r="75" spans="5:14" ht="15.75">
      <c r="E75" s="41"/>
      <c r="F75" s="41"/>
      <c r="G75" s="41"/>
      <c r="H75" s="42"/>
      <c r="I75" s="41"/>
      <c r="J75" s="4"/>
      <c r="K75" s="4"/>
      <c r="L75" s="4"/>
      <c r="M75" s="4"/>
      <c r="N75" s="4"/>
    </row>
    <row r="76" spans="5:14" ht="15.75">
      <c r="E76" s="41"/>
      <c r="F76" s="41"/>
      <c r="G76" s="41"/>
      <c r="H76" s="42"/>
      <c r="I76" s="41"/>
      <c r="J76" s="4"/>
      <c r="K76" s="4"/>
      <c r="L76" s="4"/>
      <c r="M76" s="4"/>
      <c r="N76" s="4"/>
    </row>
    <row r="77" spans="5:14" ht="15.75">
      <c r="E77" s="41"/>
      <c r="F77" s="41"/>
      <c r="G77" s="41"/>
      <c r="H77" s="42"/>
      <c r="I77" s="41"/>
      <c r="J77" s="4"/>
      <c r="K77" s="4"/>
      <c r="L77" s="4"/>
      <c r="M77" s="4"/>
      <c r="N77" s="4"/>
    </row>
    <row r="78" spans="5:14" ht="15.75">
      <c r="E78" s="41"/>
      <c r="F78" s="41"/>
      <c r="G78" s="41"/>
      <c r="H78" s="42"/>
      <c r="I78" s="41"/>
      <c r="J78" s="4"/>
      <c r="K78" s="4"/>
      <c r="L78" s="4"/>
      <c r="M78" s="4"/>
      <c r="N78" s="4"/>
    </row>
    <row r="79" spans="5:14" ht="15.75">
      <c r="E79" s="41"/>
      <c r="F79" s="41"/>
      <c r="G79" s="41"/>
      <c r="H79" s="42"/>
      <c r="I79" s="41"/>
      <c r="J79" s="4"/>
      <c r="K79" s="4"/>
      <c r="L79" s="4"/>
      <c r="M79" s="4"/>
      <c r="N79" s="4"/>
    </row>
    <row r="80" spans="5:14" ht="15.75">
      <c r="E80" s="41"/>
      <c r="F80" s="41"/>
      <c r="G80" s="41"/>
      <c r="H80" s="42"/>
      <c r="I80" s="41"/>
      <c r="J80" s="4"/>
      <c r="K80" s="4"/>
      <c r="L80" s="4"/>
      <c r="M80" s="4"/>
      <c r="N80" s="4"/>
    </row>
    <row r="81" spans="5:14" ht="15.75">
      <c r="E81" s="41"/>
      <c r="F81" s="41"/>
      <c r="G81" s="41"/>
      <c r="H81" s="42"/>
      <c r="I81" s="41"/>
      <c r="J81" s="4"/>
      <c r="K81" s="4"/>
      <c r="L81" s="4"/>
      <c r="M81" s="4"/>
      <c r="N81" s="4"/>
    </row>
    <row r="82" spans="5:14" ht="15.75">
      <c r="E82" s="41"/>
      <c r="F82" s="41"/>
      <c r="G82" s="41"/>
      <c r="H82" s="42"/>
      <c r="I82" s="41"/>
      <c r="J82" s="4"/>
      <c r="K82" s="4"/>
      <c r="L82" s="4"/>
      <c r="M82" s="4"/>
      <c r="N82" s="4"/>
    </row>
    <row r="83" spans="5:14" ht="15.75">
      <c r="E83" s="41"/>
      <c r="F83" s="41"/>
      <c r="G83" s="41"/>
      <c r="H83" s="42"/>
      <c r="I83" s="41"/>
      <c r="J83" s="4"/>
      <c r="K83" s="4"/>
      <c r="L83" s="4"/>
      <c r="M83" s="4"/>
      <c r="N83" s="4"/>
    </row>
    <row r="84" spans="5:14" ht="15.75">
      <c r="E84" s="41"/>
      <c r="F84" s="41"/>
      <c r="G84" s="41"/>
      <c r="H84" s="42"/>
      <c r="I84" s="41"/>
      <c r="J84" s="4"/>
      <c r="K84" s="4"/>
      <c r="L84" s="4"/>
      <c r="M84" s="4"/>
      <c r="N84" s="4"/>
    </row>
    <row r="85" spans="5:14" ht="15.75">
      <c r="E85" s="41"/>
      <c r="F85" s="41"/>
      <c r="G85" s="41"/>
      <c r="H85" s="42"/>
      <c r="I85" s="41"/>
      <c r="J85" s="4"/>
      <c r="K85" s="4"/>
      <c r="L85" s="4"/>
      <c r="M85" s="4"/>
      <c r="N85" s="4"/>
    </row>
    <row r="86" spans="5:14" ht="15.75">
      <c r="E86" s="41"/>
      <c r="F86" s="41"/>
      <c r="G86" s="41"/>
      <c r="H86" s="42"/>
      <c r="I86" s="41"/>
      <c r="J86" s="4"/>
      <c r="K86" s="4"/>
      <c r="L86" s="4"/>
      <c r="M86" s="4"/>
      <c r="N86" s="4"/>
    </row>
    <row r="87" spans="5:14" ht="15.75">
      <c r="E87" s="41"/>
      <c r="F87" s="41"/>
      <c r="G87" s="41"/>
      <c r="H87" s="42"/>
      <c r="I87" s="41"/>
      <c r="J87" s="4"/>
      <c r="K87" s="4"/>
      <c r="L87" s="4"/>
      <c r="M87" s="4"/>
      <c r="N87" s="4"/>
    </row>
    <row r="88" spans="5:14" ht="15.75">
      <c r="E88" s="41"/>
      <c r="F88" s="41"/>
      <c r="G88" s="41"/>
      <c r="H88" s="42"/>
      <c r="I88" s="41"/>
      <c r="J88" s="4"/>
      <c r="K88" s="4"/>
      <c r="L88" s="4"/>
      <c r="M88" s="4"/>
      <c r="N88" s="4"/>
    </row>
    <row r="89" spans="5:14" ht="15.75">
      <c r="E89" s="41"/>
      <c r="F89" s="41"/>
      <c r="G89" s="41"/>
      <c r="H89" s="42"/>
      <c r="I89" s="41"/>
      <c r="J89" s="4"/>
      <c r="K89" s="4"/>
      <c r="L89" s="4"/>
      <c r="M89" s="4"/>
      <c r="N89" s="4"/>
    </row>
    <row r="90" spans="5:14" ht="15.75">
      <c r="E90" s="41"/>
      <c r="F90" s="41"/>
      <c r="G90" s="41"/>
      <c r="H90" s="42"/>
      <c r="I90" s="41"/>
      <c r="J90" s="4"/>
      <c r="K90" s="4"/>
      <c r="L90" s="4"/>
      <c r="M90" s="4"/>
      <c r="N90" s="4"/>
    </row>
    <row r="91" spans="5:14" ht="15.75">
      <c r="E91" s="41"/>
      <c r="F91" s="41"/>
      <c r="G91" s="41"/>
      <c r="H91" s="42"/>
      <c r="I91" s="41"/>
      <c r="J91" s="4"/>
      <c r="K91" s="4"/>
      <c r="L91" s="4"/>
      <c r="M91" s="4"/>
      <c r="N91" s="4"/>
    </row>
    <row r="92" spans="5:14" ht="12.75">
      <c r="E92" s="4"/>
      <c r="F92" s="4"/>
      <c r="G92" s="4"/>
      <c r="H92" s="40"/>
      <c r="I92" s="4"/>
      <c r="J92" s="4"/>
      <c r="K92" s="4"/>
      <c r="L92" s="4"/>
      <c r="M92" s="4"/>
      <c r="N92" s="4"/>
    </row>
    <row r="93" spans="5:14" ht="12.75">
      <c r="E93" s="4"/>
      <c r="F93" s="4"/>
      <c r="G93" s="4"/>
      <c r="H93" s="40"/>
      <c r="I93" s="4"/>
      <c r="J93" s="4"/>
      <c r="K93" s="4"/>
      <c r="L93" s="4"/>
      <c r="M93" s="4"/>
      <c r="N93" s="4"/>
    </row>
    <row r="94" spans="5:14" ht="12.75">
      <c r="E94" s="4"/>
      <c r="F94" s="4"/>
      <c r="G94" s="4"/>
      <c r="H94" s="40"/>
      <c r="I94" s="4"/>
      <c r="J94" s="4"/>
      <c r="K94" s="4"/>
      <c r="L94" s="4"/>
      <c r="M94" s="4"/>
      <c r="N94" s="4"/>
    </row>
    <row r="95" spans="5:14" ht="12.75">
      <c r="E95" s="4"/>
      <c r="F95" s="4"/>
      <c r="G95" s="4"/>
      <c r="H95" s="40"/>
      <c r="I95" s="4"/>
      <c r="J95" s="4"/>
      <c r="K95" s="4"/>
      <c r="L95" s="4"/>
      <c r="M95" s="4"/>
      <c r="N95" s="4"/>
    </row>
    <row r="96" spans="5:14" ht="12.75">
      <c r="E96" s="4"/>
      <c r="F96" s="4"/>
      <c r="G96" s="4"/>
      <c r="H96" s="40"/>
      <c r="I96" s="4"/>
      <c r="J96" s="4"/>
      <c r="K96" s="4"/>
      <c r="L96" s="4"/>
      <c r="M96" s="4"/>
      <c r="N96" s="4"/>
    </row>
    <row r="97" spans="5:14" ht="12.75">
      <c r="E97" s="4"/>
      <c r="F97" s="4"/>
      <c r="G97" s="4"/>
      <c r="H97" s="40"/>
      <c r="I97" s="4"/>
      <c r="J97" s="4"/>
      <c r="K97" s="4"/>
      <c r="L97" s="4"/>
      <c r="M97" s="4"/>
      <c r="N97" s="4"/>
    </row>
    <row r="98" spans="5:14" ht="12.75">
      <c r="E98" s="4"/>
      <c r="F98" s="4"/>
      <c r="G98" s="4"/>
      <c r="H98" s="40"/>
      <c r="I98" s="4"/>
      <c r="J98" s="4"/>
      <c r="K98" s="4"/>
      <c r="L98" s="4"/>
      <c r="M98" s="4"/>
      <c r="N98" s="4"/>
    </row>
    <row r="99" spans="5:14" ht="12.75">
      <c r="E99" s="4"/>
      <c r="F99" s="4"/>
      <c r="G99" s="4"/>
      <c r="H99" s="40"/>
      <c r="I99" s="4"/>
      <c r="J99" s="4"/>
      <c r="K99" s="4"/>
      <c r="L99" s="4"/>
      <c r="M99" s="4"/>
      <c r="N99" s="4"/>
    </row>
    <row r="100" spans="5:14" ht="12.75">
      <c r="E100" s="4"/>
      <c r="F100" s="4"/>
      <c r="G100" s="4"/>
      <c r="H100" s="40"/>
      <c r="I100" s="4"/>
      <c r="J100" s="4"/>
      <c r="K100" s="4"/>
      <c r="L100" s="4"/>
      <c r="M100" s="4"/>
      <c r="N100" s="4"/>
    </row>
    <row r="101" spans="5:14" ht="12.75">
      <c r="E101" s="4"/>
      <c r="F101" s="4"/>
      <c r="G101" s="4"/>
      <c r="H101" s="40"/>
      <c r="I101" s="4"/>
      <c r="J101" s="4"/>
      <c r="K101" s="4"/>
      <c r="L101" s="4"/>
      <c r="M101" s="4"/>
      <c r="N101" s="4"/>
    </row>
    <row r="102" spans="5:14" ht="12.75">
      <c r="E102" s="4"/>
      <c r="F102" s="4"/>
      <c r="G102" s="4"/>
      <c r="H102" s="40"/>
      <c r="I102" s="4"/>
      <c r="J102" s="4"/>
      <c r="K102" s="4"/>
      <c r="L102" s="4"/>
      <c r="M102" s="4"/>
      <c r="N102" s="4"/>
    </row>
    <row r="103" spans="5:14" ht="12.75">
      <c r="E103" s="4"/>
      <c r="F103" s="4"/>
      <c r="G103" s="4"/>
      <c r="H103" s="40"/>
      <c r="I103" s="4"/>
      <c r="J103" s="4"/>
      <c r="K103" s="4"/>
      <c r="L103" s="4"/>
      <c r="M103" s="4"/>
      <c r="N103" s="4"/>
    </row>
    <row r="104" spans="5:14" ht="12.75">
      <c r="E104" s="4"/>
      <c r="F104" s="4"/>
      <c r="G104" s="4"/>
      <c r="H104" s="40"/>
      <c r="I104" s="4"/>
      <c r="J104" s="4"/>
      <c r="K104" s="4"/>
      <c r="L104" s="4"/>
      <c r="M104" s="4"/>
      <c r="N104" s="4"/>
    </row>
    <row r="105" spans="5:14" ht="12.75">
      <c r="E105" s="4"/>
      <c r="F105" s="4"/>
      <c r="G105" s="4"/>
      <c r="H105" s="40"/>
      <c r="I105" s="4"/>
      <c r="J105" s="4"/>
      <c r="K105" s="4"/>
      <c r="L105" s="4"/>
      <c r="M105" s="4"/>
      <c r="N105" s="4"/>
    </row>
    <row r="106" spans="5:14" ht="12.75">
      <c r="E106" s="4"/>
      <c r="F106" s="4"/>
      <c r="G106" s="4"/>
      <c r="H106" s="40"/>
      <c r="I106" s="4"/>
      <c r="J106" s="4"/>
      <c r="K106" s="4"/>
      <c r="L106" s="4"/>
      <c r="M106" s="4"/>
      <c r="N106" s="4"/>
    </row>
    <row r="107" spans="5:14" ht="12.75">
      <c r="E107" s="4"/>
      <c r="F107" s="4"/>
      <c r="G107" s="4"/>
      <c r="H107" s="40"/>
      <c r="I107" s="4"/>
      <c r="J107" s="4"/>
      <c r="K107" s="4"/>
      <c r="L107" s="4"/>
      <c r="M107" s="4"/>
      <c r="N107" s="4"/>
    </row>
    <row r="108" spans="5:14" ht="12.75">
      <c r="E108" s="4"/>
      <c r="F108" s="4"/>
      <c r="G108" s="4"/>
      <c r="H108" s="40"/>
      <c r="I108" s="4"/>
      <c r="J108" s="4"/>
      <c r="K108" s="4"/>
      <c r="L108" s="4"/>
      <c r="M108" s="4"/>
      <c r="N108" s="4"/>
    </row>
    <row r="109" spans="5:14" ht="12.75">
      <c r="E109" s="4"/>
      <c r="F109" s="4"/>
      <c r="G109" s="4"/>
      <c r="H109" s="40"/>
      <c r="I109" s="4"/>
      <c r="J109" s="4"/>
      <c r="K109" s="4"/>
      <c r="L109" s="4"/>
      <c r="M109" s="4"/>
      <c r="N109" s="4"/>
    </row>
    <row r="110" spans="5:14" ht="12.75">
      <c r="E110" s="4"/>
      <c r="F110" s="4"/>
      <c r="G110" s="4"/>
      <c r="H110" s="40"/>
      <c r="I110" s="4"/>
      <c r="J110" s="4"/>
      <c r="K110" s="4"/>
      <c r="L110" s="4"/>
      <c r="M110" s="4"/>
      <c r="N110" s="4"/>
    </row>
    <row r="111" spans="5:14" ht="12.75">
      <c r="E111" s="4"/>
      <c r="F111" s="4"/>
      <c r="G111" s="4"/>
      <c r="H111" s="40"/>
      <c r="I111" s="4"/>
      <c r="J111" s="4"/>
      <c r="K111" s="4"/>
      <c r="L111" s="4"/>
      <c r="M111" s="4"/>
      <c r="N111" s="4"/>
    </row>
    <row r="112" spans="5:14" ht="12.75">
      <c r="E112" s="4"/>
      <c r="F112" s="4"/>
      <c r="G112" s="4"/>
      <c r="H112" s="40"/>
      <c r="I112" s="4"/>
      <c r="J112" s="4"/>
      <c r="K112" s="4"/>
      <c r="L112" s="4"/>
      <c r="M112" s="4"/>
      <c r="N112" s="4"/>
    </row>
    <row r="113" spans="5:14" ht="12.75">
      <c r="E113" s="4"/>
      <c r="F113" s="4"/>
      <c r="G113" s="4"/>
      <c r="H113" s="40"/>
      <c r="I113" s="4"/>
      <c r="J113" s="4"/>
      <c r="K113" s="4"/>
      <c r="L113" s="4"/>
      <c r="M113" s="4"/>
      <c r="N113" s="4"/>
    </row>
    <row r="114" spans="5:14" ht="12.75">
      <c r="E114" s="4"/>
      <c r="F114" s="4"/>
      <c r="G114" s="4"/>
      <c r="H114" s="40"/>
      <c r="I114" s="4"/>
      <c r="J114" s="4"/>
      <c r="K114" s="4"/>
      <c r="L114" s="4"/>
      <c r="M114" s="4"/>
      <c r="N114" s="4"/>
    </row>
    <row r="115" spans="5:14" ht="12.75">
      <c r="E115" s="4"/>
      <c r="F115" s="4"/>
      <c r="G115" s="4"/>
      <c r="H115" s="40"/>
      <c r="I115" s="4"/>
      <c r="J115" s="4"/>
      <c r="K115" s="4"/>
      <c r="L115" s="4"/>
      <c r="M115" s="4"/>
      <c r="N115" s="4"/>
    </row>
    <row r="116" spans="5:14" ht="12.75">
      <c r="E116" s="4"/>
      <c r="F116" s="4"/>
      <c r="G116" s="4"/>
      <c r="H116" s="40"/>
      <c r="I116" s="4"/>
      <c r="J116" s="4"/>
      <c r="K116" s="4"/>
      <c r="L116" s="4"/>
      <c r="M116" s="4"/>
      <c r="N116" s="4"/>
    </row>
    <row r="117" spans="5:14" ht="12.75">
      <c r="E117" s="4"/>
      <c r="F117" s="4"/>
      <c r="G117" s="4"/>
      <c r="H117" s="40"/>
      <c r="I117" s="4"/>
      <c r="J117" s="4"/>
      <c r="K117" s="4"/>
      <c r="L117" s="4"/>
      <c r="M117" s="4"/>
      <c r="N117" s="4"/>
    </row>
    <row r="118" spans="5:14" ht="12.75">
      <c r="E118" s="4"/>
      <c r="F118" s="4"/>
      <c r="G118" s="4"/>
      <c r="H118" s="40"/>
      <c r="I118" s="4"/>
      <c r="J118" s="4"/>
      <c r="K118" s="4"/>
      <c r="L118" s="4"/>
      <c r="M118" s="4"/>
      <c r="N118" s="4"/>
    </row>
    <row r="119" spans="5:14" ht="12.75">
      <c r="E119" s="4"/>
      <c r="F119" s="4"/>
      <c r="G119" s="4"/>
      <c r="H119" s="40"/>
      <c r="I119" s="4"/>
      <c r="J119" s="4"/>
      <c r="K119" s="4"/>
      <c r="L119" s="4"/>
      <c r="M119" s="4"/>
      <c r="N119" s="4"/>
    </row>
    <row r="120" spans="5:14" ht="12.75">
      <c r="E120" s="4"/>
      <c r="F120" s="4"/>
      <c r="G120" s="4"/>
      <c r="H120" s="40"/>
      <c r="I120" s="4"/>
      <c r="J120" s="4"/>
      <c r="K120" s="4"/>
      <c r="L120" s="4"/>
      <c r="M120" s="4"/>
      <c r="N120" s="4"/>
    </row>
    <row r="121" spans="5:14" ht="12.75">
      <c r="E121" s="4"/>
      <c r="F121" s="4"/>
      <c r="G121" s="4"/>
      <c r="H121" s="40"/>
      <c r="I121" s="4"/>
      <c r="J121" s="4"/>
      <c r="K121" s="4"/>
      <c r="L121" s="4"/>
      <c r="M121" s="4"/>
      <c r="N121" s="4"/>
    </row>
    <row r="122" spans="5:14" ht="12.75">
      <c r="E122" s="4"/>
      <c r="F122" s="4"/>
      <c r="G122" s="4"/>
      <c r="H122" s="40"/>
      <c r="I122" s="4"/>
      <c r="J122" s="4"/>
      <c r="K122" s="4"/>
      <c r="L122" s="4"/>
      <c r="M122" s="4"/>
      <c r="N122" s="4"/>
    </row>
    <row r="123" spans="5:14" ht="12.75">
      <c r="E123" s="4"/>
      <c r="F123" s="4"/>
      <c r="G123" s="4"/>
      <c r="H123" s="40"/>
      <c r="I123" s="4"/>
      <c r="J123" s="4"/>
      <c r="K123" s="4"/>
      <c r="L123" s="4"/>
      <c r="M123" s="4"/>
      <c r="N123" s="4"/>
    </row>
    <row r="124" spans="5:14" ht="12.75">
      <c r="E124" s="4"/>
      <c r="F124" s="4"/>
      <c r="G124" s="4"/>
      <c r="H124" s="40"/>
      <c r="I124" s="4"/>
      <c r="J124" s="4"/>
      <c r="K124" s="4"/>
      <c r="L124" s="4"/>
      <c r="M124" s="4"/>
      <c r="N124" s="4"/>
    </row>
    <row r="125" spans="5:14" ht="12.75">
      <c r="E125" s="4"/>
      <c r="F125" s="4"/>
      <c r="G125" s="4"/>
      <c r="H125" s="40"/>
      <c r="I125" s="4"/>
      <c r="J125" s="4"/>
      <c r="K125" s="4"/>
      <c r="L125" s="4"/>
      <c r="M125" s="4"/>
      <c r="N125" s="4"/>
    </row>
  </sheetData>
  <mergeCells count="14">
    <mergeCell ref="M1:R1"/>
    <mergeCell ref="E2:X2"/>
    <mergeCell ref="E3:F4"/>
    <mergeCell ref="G3:G5"/>
    <mergeCell ref="H3:H5"/>
    <mergeCell ref="I3:L4"/>
    <mergeCell ref="M3:P4"/>
    <mergeCell ref="Q3:AD3"/>
    <mergeCell ref="Q4:T4"/>
    <mergeCell ref="U4:AC4"/>
    <mergeCell ref="AE4:AE5"/>
    <mergeCell ref="AF4:AF5"/>
    <mergeCell ref="AG4:AG5"/>
    <mergeCell ref="AH4:AH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Нюрка</cp:lastModifiedBy>
  <dcterms:created xsi:type="dcterms:W3CDTF">1996-10-08T23:32:33Z</dcterms:created>
  <dcterms:modified xsi:type="dcterms:W3CDTF">2016-07-05T01:17:55Z</dcterms:modified>
  <cp:category/>
  <cp:version/>
  <cp:contentType/>
  <cp:contentStatus/>
</cp:coreProperties>
</file>