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940" windowHeight="6540" activeTab="0"/>
  </bookViews>
  <sheets>
    <sheet name="Стр-ра потр.2011" sheetId="1" r:id="rId1"/>
  </sheets>
  <definedNames/>
  <calcPr fullCalcOnLoad="1"/>
</workbook>
</file>

<file path=xl/sharedStrings.xml><?xml version="1.0" encoding="utf-8"?>
<sst xmlns="http://schemas.openxmlformats.org/spreadsheetml/2006/main" count="149" uniqueCount="55">
  <si>
    <t>Пар</t>
  </si>
  <si>
    <t>Горячая вода</t>
  </si>
  <si>
    <t>ХОВ, м куб/ч</t>
  </si>
  <si>
    <t>Пар, Гкал</t>
  </si>
  <si>
    <t>ГВС</t>
  </si>
  <si>
    <t>Отопление</t>
  </si>
  <si>
    <t>Всего</t>
  </si>
  <si>
    <t>Горячая вода,Гкал</t>
  </si>
  <si>
    <t>ХОВ, м куб</t>
  </si>
  <si>
    <t>Таблица 1</t>
  </si>
  <si>
    <t>Бюджетные потребители</t>
  </si>
  <si>
    <t>Прочие потребители</t>
  </si>
  <si>
    <t>Всего потребителям</t>
  </si>
  <si>
    <t>Таблица 2</t>
  </si>
  <si>
    <t>Заявленная  нагрузка, Гкал/час</t>
  </si>
  <si>
    <t>Наименование организации (потребителя), адрес, телефон</t>
  </si>
  <si>
    <t>Для восполнения конденссата</t>
  </si>
  <si>
    <t>Для восполнения конденсата</t>
  </si>
  <si>
    <t>Договор, номер, дата заключения</t>
  </si>
  <si>
    <t>Собственное потребление ЭСО</t>
  </si>
  <si>
    <t>Прочее (указать по назначению)</t>
  </si>
  <si>
    <t>ВСЕГО тепловая энергия</t>
  </si>
  <si>
    <t>Всего тепловая нагрузка горячей воды</t>
  </si>
  <si>
    <t>Всего тепловая энергия горячей воды</t>
  </si>
  <si>
    <t>В т.ч на потери (в случии указания потерь в договорах)</t>
  </si>
  <si>
    <t>Фактическая  нагрузка, Гкал/час</t>
  </si>
  <si>
    <t>Население</t>
  </si>
  <si>
    <t>ВСЕГО тепловая нагрузка</t>
  </si>
  <si>
    <t>Потери в сетях потребителя (в случае указания в договорах)</t>
  </si>
  <si>
    <t>Итого бюджет</t>
  </si>
  <si>
    <t>Итого прочие</t>
  </si>
  <si>
    <t>УТВЕРЖДАЮ:</t>
  </si>
  <si>
    <t>Таблица 3</t>
  </si>
  <si>
    <t>СОГЛАСОВАНО :</t>
  </si>
  <si>
    <t>Бирилюсского района</t>
  </si>
  <si>
    <t>Приложение 5</t>
  </si>
  <si>
    <t>Плановое  потребление на регулируемый 2011 год</t>
  </si>
  <si>
    <t>Фактическое  потребление за базовый 2010 год</t>
  </si>
  <si>
    <t>ХОВ,    м куб/ч</t>
  </si>
  <si>
    <t>Потребление в соответствии с договором 2010 г.</t>
  </si>
  <si>
    <t>тепловая энергия по договорам</t>
  </si>
  <si>
    <t>"____"______________ 2010 г.</t>
  </si>
  <si>
    <t>_____________ С.А.Логинов</t>
  </si>
  <si>
    <t>МБОУ Суриковская общеобразовательная средняя школа</t>
  </si>
  <si>
    <t>МДОУ Детский сад "Родник"</t>
  </si>
  <si>
    <t>МУЗ "ЦРБ", Суриковский ФАП</t>
  </si>
  <si>
    <t>Суриковский почтамт - филиал ФГУП "Почта России"</t>
  </si>
  <si>
    <t>ИП Семак В.С.</t>
  </si>
  <si>
    <t>ООО "Викинг"</t>
  </si>
  <si>
    <t>ОАО "Железнодорожная торговая компания"</t>
  </si>
  <si>
    <t>ОАО "Российские железные дороги"</t>
  </si>
  <si>
    <t>Структура потребления тепловой энергии и воды по ООО "Теплосбыт"  на 2011 год</t>
  </si>
  <si>
    <t>___________ А.Н.Каунов</t>
  </si>
  <si>
    <t>директор ООО "Теплосбыт"</t>
  </si>
  <si>
    <t>глава администрации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</si>
</sst>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#,##0.0"/>
    <numFmt numFmtId="169" formatCode="#,##0.000"/>
  </numFmts>
  <fonts count="1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center" textRotation="90" wrapText="1"/>
      <protection locked="0"/>
    </xf>
    <xf numFmtId="0" fontId="4" fillId="0" borderId="2" xfId="0" applyFont="1" applyBorder="1" applyAlignment="1" applyProtection="1">
      <alignment horizontal="center" textRotation="90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 textRotation="90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68" fontId="4" fillId="0" borderId="2" xfId="0" applyNumberFormat="1" applyFont="1" applyBorder="1" applyAlignment="1" applyProtection="1">
      <alignment/>
      <protection locked="0"/>
    </xf>
    <xf numFmtId="2" fontId="4" fillId="0" borderId="2" xfId="0" applyNumberFormat="1" applyFont="1" applyBorder="1" applyAlignment="1" applyProtection="1">
      <alignment/>
      <protection locked="0"/>
    </xf>
    <xf numFmtId="168" fontId="4" fillId="0" borderId="3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4" fillId="0" borderId="2" xfId="0" applyNumberFormat="1" applyFont="1" applyBorder="1" applyAlignment="1" applyProtection="1">
      <alignment vertical="center" wrapText="1"/>
      <protection locked="0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/>
      <protection locked="0"/>
    </xf>
    <xf numFmtId="2" fontId="4" fillId="0" borderId="2" xfId="0" applyNumberFormat="1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168" fontId="6" fillId="0" borderId="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/>
      <protection locked="0"/>
    </xf>
    <xf numFmtId="4" fontId="2" fillId="0" borderId="6" xfId="0" applyNumberFormat="1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168" fontId="2" fillId="0" borderId="6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166" fontId="4" fillId="0" borderId="2" xfId="0" applyNumberFormat="1" applyFont="1" applyBorder="1" applyAlignment="1" applyProtection="1">
      <alignment vertical="center" wrapText="1"/>
      <protection locked="0"/>
    </xf>
    <xf numFmtId="166" fontId="4" fillId="0" borderId="2" xfId="0" applyNumberFormat="1" applyFont="1" applyFill="1" applyBorder="1" applyAlignment="1" applyProtection="1">
      <alignment/>
      <protection locked="0"/>
    </xf>
    <xf numFmtId="166" fontId="4" fillId="0" borderId="8" xfId="0" applyNumberFormat="1" applyFont="1" applyBorder="1" applyAlignment="1" applyProtection="1">
      <alignment/>
      <protection locked="0"/>
    </xf>
    <xf numFmtId="166" fontId="4" fillId="0" borderId="2" xfId="0" applyNumberFormat="1" applyFont="1" applyBorder="1" applyAlignment="1" applyProtection="1">
      <alignment/>
      <protection locked="0"/>
    </xf>
    <xf numFmtId="169" fontId="4" fillId="0" borderId="2" xfId="0" applyNumberFormat="1" applyFont="1" applyFill="1" applyBorder="1" applyAlignment="1" applyProtection="1">
      <alignment/>
      <protection locked="0"/>
    </xf>
    <xf numFmtId="169" fontId="6" fillId="0" borderId="2" xfId="0" applyNumberFormat="1" applyFont="1" applyBorder="1" applyAlignment="1" applyProtection="1">
      <alignment/>
      <protection locked="0"/>
    </xf>
    <xf numFmtId="169" fontId="2" fillId="0" borderId="6" xfId="0" applyNumberFormat="1" applyFont="1" applyBorder="1" applyAlignment="1" applyProtection="1">
      <alignment/>
      <protection locked="0"/>
    </xf>
    <xf numFmtId="169" fontId="4" fillId="0" borderId="2" xfId="0" applyNumberFormat="1" applyFont="1" applyBorder="1" applyAlignment="1" applyProtection="1">
      <alignment/>
      <protection locked="0"/>
    </xf>
    <xf numFmtId="166" fontId="4" fillId="0" borderId="9" xfId="0" applyNumberFormat="1" applyFont="1" applyBorder="1" applyAlignment="1" applyProtection="1">
      <alignment/>
      <protection locked="0"/>
    </xf>
    <xf numFmtId="166" fontId="4" fillId="0" borderId="2" xfId="0" applyNumberFormat="1" applyFont="1" applyBorder="1" applyAlignment="1" applyProtection="1">
      <alignment wrapText="1"/>
      <protection locked="0"/>
    </xf>
    <xf numFmtId="169" fontId="4" fillId="0" borderId="2" xfId="0" applyNumberFormat="1" applyFont="1" applyBorder="1" applyAlignment="1" applyProtection="1">
      <alignment vertical="center" wrapText="1"/>
      <protection locked="0"/>
    </xf>
    <xf numFmtId="166" fontId="6" fillId="0" borderId="2" xfId="0" applyNumberFormat="1" applyFont="1" applyBorder="1" applyAlignment="1" applyProtection="1">
      <alignment/>
      <protection locked="0"/>
    </xf>
    <xf numFmtId="4" fontId="4" fillId="0" borderId="2" xfId="0" applyNumberFormat="1" applyFont="1" applyBorder="1" applyAlignment="1" applyProtection="1">
      <alignment vertical="center" wrapText="1"/>
      <protection locked="0"/>
    </xf>
    <xf numFmtId="4" fontId="4" fillId="0" borderId="3" xfId="0" applyNumberFormat="1" applyFont="1" applyBorder="1" applyAlignment="1" applyProtection="1">
      <alignment/>
      <protection locked="0"/>
    </xf>
    <xf numFmtId="4" fontId="4" fillId="0" borderId="3" xfId="0" applyNumberFormat="1" applyFont="1" applyBorder="1" applyAlignment="1" applyProtection="1">
      <alignment vertical="center" wrapText="1"/>
      <protection locked="0"/>
    </xf>
    <xf numFmtId="4" fontId="6" fillId="0" borderId="3" xfId="0" applyNumberFormat="1" applyFont="1" applyBorder="1" applyAlignment="1" applyProtection="1">
      <alignment/>
      <protection locked="0"/>
    </xf>
    <xf numFmtId="4" fontId="4" fillId="0" borderId="2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166" fontId="6" fillId="0" borderId="2" xfId="0" applyNumberFormat="1" applyFont="1" applyBorder="1" applyAlignment="1" applyProtection="1">
      <alignment wrapText="1"/>
      <protection locked="0"/>
    </xf>
    <xf numFmtId="166" fontId="9" fillId="0" borderId="2" xfId="0" applyNumberFormat="1" applyFont="1" applyBorder="1" applyAlignment="1" applyProtection="1">
      <alignment vertical="center" wrapText="1"/>
      <protection locked="0"/>
    </xf>
    <xf numFmtId="166" fontId="2" fillId="0" borderId="6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6" fontId="4" fillId="2" borderId="2" xfId="0" applyNumberFormat="1" applyFont="1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/>
      <protection locked="0"/>
    </xf>
    <xf numFmtId="168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8" fontId="4" fillId="0" borderId="3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2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169" fontId="4" fillId="0" borderId="2" xfId="0" applyNumberFormat="1" applyFont="1" applyBorder="1" applyAlignment="1" applyProtection="1">
      <alignment/>
      <protection locked="0"/>
    </xf>
    <xf numFmtId="168" fontId="4" fillId="0" borderId="2" xfId="0" applyNumberFormat="1" applyFont="1" applyBorder="1" applyAlignment="1" applyProtection="1">
      <alignment/>
      <protection locked="0"/>
    </xf>
    <xf numFmtId="166" fontId="4" fillId="0" borderId="2" xfId="0" applyNumberFormat="1" applyFont="1" applyBorder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2" xfId="0" applyNumberFormat="1" applyFont="1" applyBorder="1" applyAlignment="1" applyProtection="1">
      <alignment wrapText="1"/>
      <protection locked="0"/>
    </xf>
    <xf numFmtId="4" fontId="4" fillId="0" borderId="3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6" fillId="0" borderId="2" xfId="0" applyNumberFormat="1" applyFont="1" applyBorder="1" applyAlignment="1" applyProtection="1">
      <alignment/>
      <protection locked="0"/>
    </xf>
    <xf numFmtId="164" fontId="4" fillId="0" borderId="2" xfId="0" applyNumberFormat="1" applyFont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/>
      <protection locked="0"/>
    </xf>
    <xf numFmtId="168" fontId="6" fillId="0" borderId="3" xfId="0" applyNumberFormat="1" applyFont="1" applyBorder="1" applyAlignment="1" applyProtection="1">
      <alignment/>
      <protection locked="0"/>
    </xf>
    <xf numFmtId="2" fontId="4" fillId="0" borderId="8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textRotation="90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textRotation="90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9.625" style="0" customWidth="1"/>
    <col min="2" max="2" width="13.875" style="0" customWidth="1"/>
    <col min="3" max="3" width="5.375" style="0" customWidth="1"/>
    <col min="4" max="4" width="1.875" style="0" customWidth="1"/>
    <col min="5" max="5" width="5.125" style="0" customWidth="1"/>
    <col min="6" max="6" width="5.25390625" style="0" customWidth="1"/>
    <col min="7" max="7" width="5.75390625" style="0" customWidth="1"/>
    <col min="8" max="9" width="4.125" style="0" customWidth="1"/>
    <col min="10" max="10" width="2.25390625" style="0" customWidth="1"/>
    <col min="11" max="11" width="9.625" style="0" customWidth="1"/>
    <col min="12" max="12" width="2.375" style="0" customWidth="1"/>
    <col min="13" max="13" width="6.625" style="0" customWidth="1"/>
    <col min="14" max="14" width="10.125" style="0" customWidth="1"/>
    <col min="15" max="15" width="10.25390625" style="0" hidden="1" customWidth="1"/>
    <col min="16" max="16" width="10.125" style="0" customWidth="1"/>
    <col min="17" max="17" width="8.625" style="0" customWidth="1"/>
    <col min="18" max="18" width="4.375" style="0" customWidth="1"/>
    <col min="21" max="21" width="4.375" style="0" customWidth="1"/>
    <col min="22" max="22" width="8.875" style="0" customWidth="1"/>
  </cols>
  <sheetData>
    <row r="1" spans="13:22" s="1" customFormat="1" ht="11.25" customHeight="1">
      <c r="M1" s="2"/>
      <c r="N1" s="2"/>
      <c r="O1" s="2"/>
      <c r="P1" s="3"/>
      <c r="Q1" s="2"/>
      <c r="R1" s="2"/>
      <c r="S1" s="2"/>
      <c r="T1" s="2"/>
      <c r="U1" s="2"/>
      <c r="V1" s="72" t="s">
        <v>35</v>
      </c>
    </row>
    <row r="2" spans="13:22" s="1" customFormat="1" ht="6.75" customHeight="1">
      <c r="M2" s="4"/>
      <c r="N2" s="4"/>
      <c r="O2" s="4"/>
      <c r="P2" s="5"/>
      <c r="Q2" s="4"/>
      <c r="R2" s="4"/>
      <c r="S2" s="4"/>
      <c r="T2" s="4"/>
      <c r="U2" s="4"/>
      <c r="V2" s="4"/>
    </row>
    <row r="3" spans="1:22" s="1" customFormat="1" ht="13.5" customHeight="1">
      <c r="A3" s="80" t="s">
        <v>33</v>
      </c>
      <c r="M3" s="4"/>
      <c r="N3" s="4"/>
      <c r="O3" s="4"/>
      <c r="P3" s="5"/>
      <c r="Q3" s="4"/>
      <c r="R3" s="4"/>
      <c r="S3" s="81" t="s">
        <v>31</v>
      </c>
      <c r="T3" s="4"/>
      <c r="U3" s="4"/>
      <c r="V3" s="4"/>
    </row>
    <row r="4" spans="1:22" s="1" customFormat="1" ht="13.5" customHeight="1">
      <c r="A4" s="80" t="s">
        <v>54</v>
      </c>
      <c r="M4" s="4"/>
      <c r="N4" s="4"/>
      <c r="O4" s="4"/>
      <c r="P4" s="5"/>
      <c r="Q4" s="4"/>
      <c r="R4" s="4"/>
      <c r="S4" s="81" t="s">
        <v>53</v>
      </c>
      <c r="T4" s="4"/>
      <c r="U4" s="4"/>
      <c r="V4" s="4"/>
    </row>
    <row r="5" spans="1:22" s="1" customFormat="1" ht="13.5" customHeight="1">
      <c r="A5" s="80" t="s">
        <v>34</v>
      </c>
      <c r="M5" s="4"/>
      <c r="N5" s="4"/>
      <c r="O5" s="4"/>
      <c r="P5" s="5"/>
      <c r="Q5" s="4"/>
      <c r="R5" s="4"/>
      <c r="S5" s="4"/>
      <c r="T5" s="4"/>
      <c r="U5" s="4"/>
      <c r="V5" s="4"/>
    </row>
    <row r="6" spans="1:22" s="82" customFormat="1" ht="17.25" customHeight="1">
      <c r="A6" s="80" t="s">
        <v>42</v>
      </c>
      <c r="M6" s="81"/>
      <c r="N6" s="81"/>
      <c r="O6" s="81"/>
      <c r="P6" s="83"/>
      <c r="Q6" s="81"/>
      <c r="R6" s="81"/>
      <c r="S6" s="81" t="s">
        <v>52</v>
      </c>
      <c r="T6" s="81"/>
      <c r="U6" s="84"/>
      <c r="V6" s="84"/>
    </row>
    <row r="7" spans="1:21" s="82" customFormat="1" ht="16.5" customHeight="1">
      <c r="A7" s="81" t="s">
        <v>41</v>
      </c>
      <c r="P7" s="85"/>
      <c r="R7" s="86"/>
      <c r="S7" s="81" t="s">
        <v>41</v>
      </c>
      <c r="T7" s="86"/>
      <c r="U7" s="86"/>
    </row>
    <row r="8" spans="1:21" s="82" customFormat="1" ht="16.5" customHeight="1">
      <c r="A8" s="81"/>
      <c r="P8" s="85"/>
      <c r="R8" s="86"/>
      <c r="S8" s="81"/>
      <c r="T8" s="86"/>
      <c r="U8" s="86"/>
    </row>
    <row r="9" spans="1:21" s="82" customFormat="1" ht="16.5" customHeight="1">
      <c r="A9" s="81"/>
      <c r="P9" s="85"/>
      <c r="R9" s="86"/>
      <c r="S9" s="81"/>
      <c r="T9" s="86"/>
      <c r="U9" s="86"/>
    </row>
    <row r="10" spans="1:22" s="1" customFormat="1" ht="18" customHeight="1">
      <c r="A10" s="133" t="s">
        <v>51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</row>
    <row r="11" spans="1:22" s="1" customFormat="1" ht="18" customHeight="1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</row>
    <row r="12" spans="1:22" s="1" customFormat="1" ht="18" customHeigh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1:23" s="1" customFormat="1" ht="10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8"/>
      <c r="R13" s="8"/>
      <c r="S13" s="8"/>
      <c r="T13" s="9"/>
      <c r="V13" s="49" t="s">
        <v>9</v>
      </c>
      <c r="W13" s="10"/>
    </row>
    <row r="14" spans="1:22" s="1" customFormat="1" ht="11.25" customHeight="1">
      <c r="A14" s="121" t="s">
        <v>15</v>
      </c>
      <c r="B14" s="124" t="s">
        <v>18</v>
      </c>
      <c r="C14" s="127" t="s">
        <v>14</v>
      </c>
      <c r="D14" s="127"/>
      <c r="E14" s="127"/>
      <c r="F14" s="127"/>
      <c r="G14" s="127"/>
      <c r="H14" s="127"/>
      <c r="I14" s="127"/>
      <c r="J14" s="127"/>
      <c r="K14" s="127" t="s">
        <v>39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/>
    </row>
    <row r="15" spans="1:22" s="1" customFormat="1" ht="21" customHeight="1">
      <c r="A15" s="122"/>
      <c r="B15" s="125"/>
      <c r="C15" s="120" t="s">
        <v>27</v>
      </c>
      <c r="D15" s="131" t="s">
        <v>0</v>
      </c>
      <c r="E15" s="120" t="s">
        <v>22</v>
      </c>
      <c r="F15" s="116" t="s">
        <v>1</v>
      </c>
      <c r="G15" s="117"/>
      <c r="H15" s="118"/>
      <c r="I15" s="119" t="s">
        <v>38</v>
      </c>
      <c r="J15" s="119"/>
      <c r="K15" s="120" t="s">
        <v>21</v>
      </c>
      <c r="L15" s="110" t="s">
        <v>3</v>
      </c>
      <c r="M15" s="114"/>
      <c r="N15" s="110" t="s">
        <v>7</v>
      </c>
      <c r="O15" s="111"/>
      <c r="P15" s="111"/>
      <c r="Q15" s="111"/>
      <c r="R15" s="111"/>
      <c r="S15" s="112"/>
      <c r="T15" s="110" t="s">
        <v>8</v>
      </c>
      <c r="U15" s="113"/>
      <c r="V15" s="115"/>
    </row>
    <row r="16" spans="1:22" s="1" customFormat="1" ht="77.25" customHeight="1">
      <c r="A16" s="123"/>
      <c r="B16" s="126"/>
      <c r="C16" s="120"/>
      <c r="D16" s="131"/>
      <c r="E16" s="120"/>
      <c r="F16" s="12" t="s">
        <v>5</v>
      </c>
      <c r="G16" s="12" t="s">
        <v>4</v>
      </c>
      <c r="H16" s="11" t="s">
        <v>20</v>
      </c>
      <c r="I16" s="11" t="s">
        <v>16</v>
      </c>
      <c r="J16" s="12" t="s">
        <v>4</v>
      </c>
      <c r="K16" s="120"/>
      <c r="L16" s="74" t="s">
        <v>6</v>
      </c>
      <c r="M16" s="11" t="s">
        <v>24</v>
      </c>
      <c r="N16" s="11" t="s">
        <v>23</v>
      </c>
      <c r="O16" s="11" t="s">
        <v>40</v>
      </c>
      <c r="P16" s="14" t="s">
        <v>5</v>
      </c>
      <c r="Q16" s="12" t="s">
        <v>4</v>
      </c>
      <c r="R16" s="11" t="s">
        <v>20</v>
      </c>
      <c r="S16" s="11" t="s">
        <v>28</v>
      </c>
      <c r="T16" s="13" t="s">
        <v>6</v>
      </c>
      <c r="U16" s="11" t="s">
        <v>17</v>
      </c>
      <c r="V16" s="15" t="s">
        <v>4</v>
      </c>
    </row>
    <row r="17" spans="1:22" s="48" customFormat="1" ht="9" customHeight="1">
      <c r="A17" s="43">
        <v>1</v>
      </c>
      <c r="B17" s="44">
        <v>2</v>
      </c>
      <c r="C17" s="44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4">
        <v>13</v>
      </c>
      <c r="N17" s="44">
        <v>14</v>
      </c>
      <c r="O17" s="45">
        <v>14</v>
      </c>
      <c r="P17" s="46">
        <v>15</v>
      </c>
      <c r="Q17" s="45">
        <v>16</v>
      </c>
      <c r="R17" s="45">
        <v>17</v>
      </c>
      <c r="S17" s="45">
        <v>18</v>
      </c>
      <c r="T17" s="45">
        <v>19</v>
      </c>
      <c r="U17" s="45">
        <v>20</v>
      </c>
      <c r="V17" s="47">
        <v>21</v>
      </c>
    </row>
    <row r="18" spans="1:22" s="1" customFormat="1" ht="11.25" customHeight="1">
      <c r="A18" s="16" t="s">
        <v>10</v>
      </c>
      <c r="B18" s="17"/>
      <c r="C18" s="18"/>
      <c r="D18" s="19"/>
      <c r="E18" s="19"/>
      <c r="F18" s="19"/>
      <c r="G18" s="19"/>
      <c r="H18" s="19"/>
      <c r="I18" s="20"/>
      <c r="J18" s="20"/>
      <c r="K18" s="21"/>
      <c r="L18" s="21"/>
      <c r="M18" s="21"/>
      <c r="N18" s="21"/>
      <c r="O18" s="21"/>
      <c r="P18" s="22"/>
      <c r="Q18" s="21"/>
      <c r="R18" s="21"/>
      <c r="S18" s="21"/>
      <c r="T18" s="21"/>
      <c r="U18" s="21"/>
      <c r="V18" s="23"/>
    </row>
    <row r="19" spans="1:22" s="1" customFormat="1" ht="22.5" customHeight="1">
      <c r="A19" s="24" t="s">
        <v>43</v>
      </c>
      <c r="B19" s="75"/>
      <c r="C19" s="51">
        <f>E19</f>
        <v>0.08359590220385675</v>
      </c>
      <c r="D19" s="25"/>
      <c r="E19" s="51">
        <f>F19+G19</f>
        <v>0.08359590220385675</v>
      </c>
      <c r="F19" s="51">
        <f>P19/5808</f>
        <v>0.08298898071625345</v>
      </c>
      <c r="G19" s="51">
        <f>Q19/5808</f>
        <v>0.0006069214876033058</v>
      </c>
      <c r="H19" s="25"/>
      <c r="I19" s="25"/>
      <c r="J19" s="25"/>
      <c r="K19" s="51">
        <f>N19</f>
        <v>485.525</v>
      </c>
      <c r="L19" s="25"/>
      <c r="M19" s="25"/>
      <c r="N19" s="51">
        <f>SUM(P19:S19)</f>
        <v>485.525</v>
      </c>
      <c r="O19" s="51">
        <v>482</v>
      </c>
      <c r="P19" s="26">
        <f>O19-S19</f>
        <v>482</v>
      </c>
      <c r="Q19" s="51">
        <v>3.525</v>
      </c>
      <c r="R19" s="26"/>
      <c r="S19" s="51"/>
      <c r="T19" s="77">
        <f>V19</f>
        <v>70.5</v>
      </c>
      <c r="U19" s="63"/>
      <c r="V19" s="79">
        <v>70.5</v>
      </c>
    </row>
    <row r="20" spans="1:22" s="42" customFormat="1" ht="11.25" customHeight="1">
      <c r="A20" s="24" t="s">
        <v>44</v>
      </c>
      <c r="B20" s="76"/>
      <c r="C20" s="51">
        <f>E20</f>
        <v>0.021659779614325067</v>
      </c>
      <c r="D20" s="20"/>
      <c r="E20" s="51">
        <f>F20+G20</f>
        <v>0.021659779614325067</v>
      </c>
      <c r="F20" s="51">
        <f>P20/5808</f>
        <v>0.021659779614325067</v>
      </c>
      <c r="G20" s="51"/>
      <c r="H20" s="20"/>
      <c r="I20" s="20"/>
      <c r="J20" s="20"/>
      <c r="K20" s="26">
        <f>N20</f>
        <v>125.8</v>
      </c>
      <c r="L20" s="21"/>
      <c r="M20" s="21"/>
      <c r="N20" s="26">
        <f aca="true" t="shared" si="0" ref="N20:N28">SUM(P20:S20)</f>
        <v>125.8</v>
      </c>
      <c r="O20" s="52">
        <v>125.8</v>
      </c>
      <c r="P20" s="26">
        <f>O20-S20</f>
        <v>125.8</v>
      </c>
      <c r="Q20" s="59"/>
      <c r="R20" s="21"/>
      <c r="S20" s="54"/>
      <c r="T20" s="63"/>
      <c r="U20" s="63"/>
      <c r="V20" s="64"/>
    </row>
    <row r="21" spans="1:22" s="42" customFormat="1" ht="11.25" customHeight="1">
      <c r="A21" s="24" t="s">
        <v>45</v>
      </c>
      <c r="B21" s="75"/>
      <c r="C21" s="51">
        <f>E21</f>
        <v>0.004652548209366392</v>
      </c>
      <c r="D21" s="20"/>
      <c r="E21" s="51">
        <f>F21+G21</f>
        <v>0.004652548209366392</v>
      </c>
      <c r="F21" s="51">
        <f>P21/5808</f>
        <v>0.0044938016528925625</v>
      </c>
      <c r="G21" s="51">
        <f aca="true" t="shared" si="1" ref="G21:G28">Q21/5808</f>
        <v>0.0001587465564738292</v>
      </c>
      <c r="H21" s="20"/>
      <c r="I21" s="20"/>
      <c r="J21" s="20"/>
      <c r="K21" s="51">
        <f>N21</f>
        <v>27.022000000000002</v>
      </c>
      <c r="L21" s="21"/>
      <c r="M21" s="21"/>
      <c r="N21" s="51">
        <f t="shared" si="0"/>
        <v>27.022000000000002</v>
      </c>
      <c r="O21" s="51">
        <v>26.1</v>
      </c>
      <c r="P21" s="26">
        <f>O21-S21</f>
        <v>26.1</v>
      </c>
      <c r="Q21" s="51">
        <v>0.922</v>
      </c>
      <c r="R21" s="21"/>
      <c r="S21" s="54"/>
      <c r="T21" s="63">
        <f>V21</f>
        <v>18.44</v>
      </c>
      <c r="U21" s="63"/>
      <c r="V21" s="64">
        <v>18.44</v>
      </c>
    </row>
    <row r="22" spans="1:22" s="42" customFormat="1" ht="22.5" customHeight="1">
      <c r="A22" s="24" t="s">
        <v>46</v>
      </c>
      <c r="B22" s="75"/>
      <c r="C22" s="51">
        <f>E22</f>
        <v>0.0036019283746556476</v>
      </c>
      <c r="D22" s="20"/>
      <c r="E22" s="51">
        <f>F22+G22</f>
        <v>0.0036019283746556476</v>
      </c>
      <c r="F22" s="51">
        <f>P22/5808</f>
        <v>0.0036019283746556476</v>
      </c>
      <c r="G22" s="51"/>
      <c r="H22" s="20"/>
      <c r="I22" s="20"/>
      <c r="J22" s="20"/>
      <c r="K22" s="25">
        <f>N22</f>
        <v>20.92</v>
      </c>
      <c r="L22" s="21"/>
      <c r="M22" s="21"/>
      <c r="N22" s="25">
        <f t="shared" si="0"/>
        <v>20.92</v>
      </c>
      <c r="O22" s="51">
        <v>20.92</v>
      </c>
      <c r="P22" s="25">
        <f>O22-S22</f>
        <v>20.92</v>
      </c>
      <c r="Q22" s="51"/>
      <c r="R22" s="21"/>
      <c r="S22" s="54"/>
      <c r="T22" s="63"/>
      <c r="U22" s="63"/>
      <c r="V22" s="65"/>
    </row>
    <row r="23" spans="1:22" s="33" customFormat="1" ht="12">
      <c r="A23" s="29" t="s">
        <v>29</v>
      </c>
      <c r="B23" s="30"/>
      <c r="C23" s="69">
        <f>SUM(C19:C22)</f>
        <v>0.11351015840220385</v>
      </c>
      <c r="D23" s="31"/>
      <c r="E23" s="69">
        <f>SUM(E19:E22)</f>
        <v>0.11351015840220385</v>
      </c>
      <c r="F23" s="69">
        <f>SUM(F19:F22)</f>
        <v>0.11274449035812673</v>
      </c>
      <c r="G23" s="69">
        <f>SUM(G19:G22)</f>
        <v>0.000765668044077135</v>
      </c>
      <c r="H23" s="31"/>
      <c r="I23" s="31"/>
      <c r="J23" s="31"/>
      <c r="K23" s="56">
        <f>SUM(K19:K22)</f>
        <v>659.2669999999999</v>
      </c>
      <c r="L23" s="32"/>
      <c r="M23" s="32"/>
      <c r="N23" s="56">
        <f>SUM(N19:N22)</f>
        <v>659.2669999999999</v>
      </c>
      <c r="O23" s="56">
        <f>SUM(O19:O22)</f>
        <v>654.8199999999999</v>
      </c>
      <c r="P23" s="105">
        <f>SUM(P18:P22)</f>
        <v>654.8199999999999</v>
      </c>
      <c r="Q23" s="56">
        <f>SUM(Q19:Q22)</f>
        <v>4.447</v>
      </c>
      <c r="R23" s="32"/>
      <c r="S23" s="56"/>
      <c r="T23" s="34">
        <f>SUM(T19:T22)</f>
        <v>88.94</v>
      </c>
      <c r="U23" s="34"/>
      <c r="V23" s="66">
        <f>SUM(V19:V22)</f>
        <v>88.94</v>
      </c>
    </row>
    <row r="24" spans="1:22" s="1" customFormat="1" ht="11.25" customHeight="1">
      <c r="A24" s="16" t="s">
        <v>11</v>
      </c>
      <c r="B24" s="27"/>
      <c r="C24" s="60"/>
      <c r="D24" s="19"/>
      <c r="E24" s="19"/>
      <c r="F24" s="28"/>
      <c r="G24" s="51"/>
      <c r="H24" s="19"/>
      <c r="I24" s="20"/>
      <c r="J24" s="20"/>
      <c r="K24" s="54"/>
      <c r="L24" s="21"/>
      <c r="M24" s="21"/>
      <c r="N24" s="51"/>
      <c r="O24" s="53"/>
      <c r="P24" s="53"/>
      <c r="Q24" s="54"/>
      <c r="R24" s="21"/>
      <c r="S24" s="21"/>
      <c r="T24" s="67"/>
      <c r="U24" s="67"/>
      <c r="V24" s="64"/>
    </row>
    <row r="25" spans="1:22" s="1" customFormat="1" ht="11.25" customHeight="1">
      <c r="A25" s="24" t="s">
        <v>47</v>
      </c>
      <c r="B25" s="27"/>
      <c r="C25" s="51">
        <f aca="true" t="shared" si="2" ref="C25:C32">E25</f>
        <v>0.006830750688705234</v>
      </c>
      <c r="D25" s="19"/>
      <c r="E25" s="51">
        <f>F25+G25</f>
        <v>0.006830750688705234</v>
      </c>
      <c r="F25" s="51">
        <f>P25/5808</f>
        <v>0.006559917355371901</v>
      </c>
      <c r="G25" s="51">
        <f t="shared" si="1"/>
        <v>0.0002708333333333333</v>
      </c>
      <c r="H25" s="19"/>
      <c r="I25" s="20"/>
      <c r="J25" s="20"/>
      <c r="K25" s="54">
        <f>N25</f>
        <v>39.673</v>
      </c>
      <c r="L25" s="21"/>
      <c r="M25" s="21"/>
      <c r="N25" s="51">
        <f t="shared" si="0"/>
        <v>39.673</v>
      </c>
      <c r="O25" s="54">
        <v>38.1</v>
      </c>
      <c r="P25" s="106">
        <f>O25-S25</f>
        <v>38.1</v>
      </c>
      <c r="Q25" s="54">
        <v>1.573</v>
      </c>
      <c r="R25" s="21"/>
      <c r="S25" s="58"/>
      <c r="T25" s="63">
        <f>V25</f>
        <v>31.46</v>
      </c>
      <c r="U25" s="63"/>
      <c r="V25" s="64">
        <v>31.46</v>
      </c>
    </row>
    <row r="26" spans="1:22" s="1" customFormat="1" ht="11.25" customHeight="1">
      <c r="A26" s="24" t="s">
        <v>48</v>
      </c>
      <c r="B26" s="27"/>
      <c r="C26" s="51">
        <f t="shared" si="2"/>
        <v>0.008481577134986224</v>
      </c>
      <c r="D26" s="19"/>
      <c r="E26" s="51">
        <f>F26+G26</f>
        <v>0.008481577134986224</v>
      </c>
      <c r="F26" s="51">
        <f>P26/5808</f>
        <v>0.008075068870523415</v>
      </c>
      <c r="G26" s="51">
        <f t="shared" si="1"/>
        <v>0.00040650826446281</v>
      </c>
      <c r="H26" s="19"/>
      <c r="I26" s="20"/>
      <c r="J26" s="20"/>
      <c r="K26" s="54">
        <f>N26</f>
        <v>49.260999999999996</v>
      </c>
      <c r="L26" s="21"/>
      <c r="M26" s="21"/>
      <c r="N26" s="51">
        <f t="shared" si="0"/>
        <v>49.260999999999996</v>
      </c>
      <c r="O26" s="73">
        <v>46.9</v>
      </c>
      <c r="P26" s="106">
        <f>O26-S26</f>
        <v>46.9</v>
      </c>
      <c r="Q26" s="54">
        <v>2.361</v>
      </c>
      <c r="R26" s="21"/>
      <c r="S26" s="58"/>
      <c r="T26" s="63">
        <f>V26</f>
        <v>47.22</v>
      </c>
      <c r="U26" s="63"/>
      <c r="V26" s="65">
        <v>47.22</v>
      </c>
    </row>
    <row r="27" spans="1:22" s="1" customFormat="1" ht="22.5" customHeight="1">
      <c r="A27" s="24" t="s">
        <v>49</v>
      </c>
      <c r="B27" s="27"/>
      <c r="C27" s="51">
        <f t="shared" si="2"/>
        <v>0.012207300275482095</v>
      </c>
      <c r="D27" s="19"/>
      <c r="E27" s="51">
        <f>F27+G27</f>
        <v>0.012207300275482095</v>
      </c>
      <c r="F27" s="51">
        <f>P27/5808</f>
        <v>0.012207300275482095</v>
      </c>
      <c r="G27" s="51"/>
      <c r="H27" s="19"/>
      <c r="I27" s="20"/>
      <c r="J27" s="20"/>
      <c r="K27" s="26">
        <f>N27</f>
        <v>70.9</v>
      </c>
      <c r="L27" s="21"/>
      <c r="M27" s="21"/>
      <c r="N27" s="26">
        <f t="shared" si="0"/>
        <v>70.9</v>
      </c>
      <c r="O27" s="54">
        <v>70.9</v>
      </c>
      <c r="P27" s="26">
        <f>O27-S27</f>
        <v>70.9</v>
      </c>
      <c r="Q27" s="51"/>
      <c r="R27" s="21"/>
      <c r="S27" s="58"/>
      <c r="T27" s="63"/>
      <c r="U27" s="63"/>
      <c r="V27" s="65"/>
    </row>
    <row r="28" spans="1:22" s="1" customFormat="1" ht="11.25" customHeight="1">
      <c r="A28" s="24" t="s">
        <v>50</v>
      </c>
      <c r="B28" s="27"/>
      <c r="C28" s="51">
        <f t="shared" si="2"/>
        <v>0.08404287190082645</v>
      </c>
      <c r="D28" s="19"/>
      <c r="E28" s="51">
        <f>F28+G28</f>
        <v>0.08404287190082645</v>
      </c>
      <c r="F28" s="51">
        <f>P28/5808</f>
        <v>0.08350550964187328</v>
      </c>
      <c r="G28" s="51">
        <f t="shared" si="1"/>
        <v>0.000537362258953168</v>
      </c>
      <c r="H28" s="19"/>
      <c r="I28" s="20"/>
      <c r="J28" s="20"/>
      <c r="K28" s="54">
        <f>N28</f>
        <v>488.121</v>
      </c>
      <c r="L28" s="21"/>
      <c r="M28" s="21"/>
      <c r="N28" s="51">
        <f t="shared" si="0"/>
        <v>488.121</v>
      </c>
      <c r="O28" s="54">
        <v>485</v>
      </c>
      <c r="P28" s="106">
        <f>O28-S28</f>
        <v>485</v>
      </c>
      <c r="Q28" s="54">
        <v>3.121</v>
      </c>
      <c r="R28" s="21"/>
      <c r="S28" s="58"/>
      <c r="T28" s="63">
        <f>V28</f>
        <v>62.42</v>
      </c>
      <c r="U28" s="63"/>
      <c r="V28" s="65">
        <v>62.42</v>
      </c>
    </row>
    <row r="29" spans="1:22" s="33" customFormat="1" ht="12">
      <c r="A29" s="29" t="s">
        <v>30</v>
      </c>
      <c r="B29" s="30"/>
      <c r="C29" s="69">
        <f>SUM(C25:C28)</f>
        <v>0.11156250000000001</v>
      </c>
      <c r="D29" s="69"/>
      <c r="E29" s="69">
        <f>SUM(E25:E28)</f>
        <v>0.11156250000000001</v>
      </c>
      <c r="F29" s="69">
        <f>SUM(F25:F28)</f>
        <v>0.11034779614325069</v>
      </c>
      <c r="G29" s="69">
        <f>SUM(G25:G28)</f>
        <v>0.0012147038567493114</v>
      </c>
      <c r="H29" s="31"/>
      <c r="I29" s="31"/>
      <c r="J29" s="31"/>
      <c r="K29" s="56">
        <f>SUM(K25:K28)</f>
        <v>647.9549999999999</v>
      </c>
      <c r="L29" s="32"/>
      <c r="M29" s="32"/>
      <c r="N29" s="56">
        <f>SUM(N25:N28)</f>
        <v>647.9549999999999</v>
      </c>
      <c r="O29" s="56">
        <f>SUM(O25:O28)</f>
        <v>640.9</v>
      </c>
      <c r="P29" s="107">
        <f>SUM(P25:P28)</f>
        <v>640.9</v>
      </c>
      <c r="Q29" s="56">
        <f>SUM(Q25:Q28)</f>
        <v>7.055</v>
      </c>
      <c r="R29" s="32"/>
      <c r="S29" s="62"/>
      <c r="T29" s="34">
        <f>SUM(T25:T28)</f>
        <v>141.10000000000002</v>
      </c>
      <c r="U29" s="34"/>
      <c r="V29" s="108">
        <f>SUM(V25:V28)</f>
        <v>141.10000000000002</v>
      </c>
    </row>
    <row r="30" spans="1:22" s="104" customFormat="1" ht="11.25" customHeight="1">
      <c r="A30" s="24" t="s">
        <v>26</v>
      </c>
      <c r="B30" s="27"/>
      <c r="C30" s="51">
        <f t="shared" si="2"/>
        <v>0.5620525137741047</v>
      </c>
      <c r="D30" s="27"/>
      <c r="E30" s="51">
        <f>F30+G30</f>
        <v>0.5620525137741047</v>
      </c>
      <c r="F30" s="51">
        <f>P30/5808</f>
        <v>0.41205165289256196</v>
      </c>
      <c r="G30" s="51">
        <f>Q30/5808</f>
        <v>0.1500008608815427</v>
      </c>
      <c r="H30" s="27"/>
      <c r="I30" s="27"/>
      <c r="J30" s="27"/>
      <c r="K30" s="98">
        <f>N30</f>
        <v>3264.401</v>
      </c>
      <c r="L30" s="99"/>
      <c r="M30" s="99"/>
      <c r="N30" s="98">
        <f>SUM(P30:S30)</f>
        <v>3264.401</v>
      </c>
      <c r="O30" s="98">
        <v>2393.196</v>
      </c>
      <c r="P30" s="58">
        <f>O30-S30</f>
        <v>2393.196</v>
      </c>
      <c r="Q30" s="100">
        <v>871.205</v>
      </c>
      <c r="R30" s="99"/>
      <c r="S30" s="98"/>
      <c r="T30" s="101">
        <f>V30</f>
        <v>17424.09</v>
      </c>
      <c r="U30" s="102"/>
      <c r="V30" s="103">
        <v>17424.09</v>
      </c>
    </row>
    <row r="31" spans="1:22" s="33" customFormat="1" ht="12">
      <c r="A31" s="29" t="s">
        <v>6</v>
      </c>
      <c r="B31" s="30"/>
      <c r="C31" s="70">
        <f t="shared" si="2"/>
        <v>0.7871251721763086</v>
      </c>
      <c r="D31" s="31"/>
      <c r="E31" s="62">
        <f>E29+E30+E23</f>
        <v>0.7871251721763086</v>
      </c>
      <c r="F31" s="62">
        <f>F29+F30+F23</f>
        <v>0.6351439393939393</v>
      </c>
      <c r="G31" s="62">
        <f>G29+G30+G23</f>
        <v>0.15198123278236916</v>
      </c>
      <c r="H31" s="31"/>
      <c r="I31" s="31"/>
      <c r="J31" s="31"/>
      <c r="K31" s="56">
        <f>K29+K30+K23</f>
        <v>4571.623</v>
      </c>
      <c r="L31" s="32"/>
      <c r="M31" s="32"/>
      <c r="N31" s="56">
        <f>N29+N30+N23</f>
        <v>4571.623</v>
      </c>
      <c r="O31" s="56">
        <f>O29+O30+O23</f>
        <v>3688.916</v>
      </c>
      <c r="P31" s="56">
        <f>P29+P30+P23</f>
        <v>3688.916</v>
      </c>
      <c r="Q31" s="56">
        <f>Q29+Q30+Q23</f>
        <v>882.707</v>
      </c>
      <c r="R31" s="32"/>
      <c r="S31" s="56"/>
      <c r="T31" s="34">
        <f>T29+T30+T23</f>
        <v>17654.129999999997</v>
      </c>
      <c r="U31" s="34"/>
      <c r="V31" s="66">
        <f>V23+V29+V30</f>
        <v>17654.13</v>
      </c>
    </row>
    <row r="32" spans="1:22" s="1" customFormat="1" ht="11.25" customHeight="1">
      <c r="A32" s="24" t="s">
        <v>19</v>
      </c>
      <c r="B32" s="27"/>
      <c r="C32" s="51">
        <f t="shared" si="2"/>
        <v>0.010787190082644628</v>
      </c>
      <c r="D32" s="19"/>
      <c r="E32" s="51">
        <f>F32+G32</f>
        <v>0.010787190082644628</v>
      </c>
      <c r="F32" s="51">
        <f>P32/5808</f>
        <v>0.0026757920110192838</v>
      </c>
      <c r="G32" s="51">
        <f>Q32/5808</f>
        <v>0.008111398071625343</v>
      </c>
      <c r="H32" s="19"/>
      <c r="I32" s="20"/>
      <c r="J32" s="20"/>
      <c r="K32" s="55">
        <f>N32</f>
        <v>62.652</v>
      </c>
      <c r="L32" s="26"/>
      <c r="M32" s="26"/>
      <c r="N32" s="61">
        <f>SUM(P32:S32)</f>
        <v>62.652</v>
      </c>
      <c r="O32" s="55">
        <v>15.541</v>
      </c>
      <c r="P32" s="55">
        <f>O32-S32</f>
        <v>15.541</v>
      </c>
      <c r="Q32" s="61">
        <f>T32*0.05</f>
        <v>47.111</v>
      </c>
      <c r="R32" s="26"/>
      <c r="S32" s="51"/>
      <c r="T32" s="77">
        <f>V32</f>
        <v>942.2199999999999</v>
      </c>
      <c r="U32" s="77"/>
      <c r="V32" s="65">
        <f>713.3+228.92</f>
        <v>942.2199999999999</v>
      </c>
    </row>
    <row r="33" spans="1:22" s="40" customFormat="1" ht="13.5" thickBot="1">
      <c r="A33" s="35" t="s">
        <v>12</v>
      </c>
      <c r="B33" s="36"/>
      <c r="C33" s="71">
        <f>C31+C32</f>
        <v>0.7979123622589532</v>
      </c>
      <c r="D33" s="38"/>
      <c r="E33" s="71">
        <f>E31+E32</f>
        <v>0.7979123622589532</v>
      </c>
      <c r="F33" s="71">
        <f>F31+F32</f>
        <v>0.6378197314049586</v>
      </c>
      <c r="G33" s="71">
        <f>G31+G32</f>
        <v>0.1600926308539945</v>
      </c>
      <c r="H33" s="38"/>
      <c r="I33" s="38"/>
      <c r="J33" s="38"/>
      <c r="K33" s="57">
        <f>K31+K32</f>
        <v>4634.275</v>
      </c>
      <c r="L33" s="39"/>
      <c r="M33" s="39"/>
      <c r="N33" s="57">
        <f>N31+N32</f>
        <v>4634.275</v>
      </c>
      <c r="O33" s="57">
        <f>O31+O32</f>
        <v>3704.4570000000003</v>
      </c>
      <c r="P33" s="57">
        <f>P31+P32</f>
        <v>3704.4570000000003</v>
      </c>
      <c r="Q33" s="57">
        <f>Q31+Q32</f>
        <v>929.818</v>
      </c>
      <c r="R33" s="39"/>
      <c r="S33" s="57"/>
      <c r="T33" s="37">
        <f>T31+T32</f>
        <v>18596.35</v>
      </c>
      <c r="U33" s="37"/>
      <c r="V33" s="68">
        <f>V31+V32</f>
        <v>18596.350000000002</v>
      </c>
    </row>
    <row r="34" spans="1:22" s="40" customFormat="1" ht="12.75">
      <c r="A34" s="90"/>
      <c r="B34" s="91"/>
      <c r="C34" s="92"/>
      <c r="D34" s="93"/>
      <c r="E34" s="92"/>
      <c r="F34" s="92"/>
      <c r="G34" s="92"/>
      <c r="H34" s="93"/>
      <c r="I34" s="93"/>
      <c r="J34" s="93"/>
      <c r="K34" s="94"/>
      <c r="L34" s="95"/>
      <c r="M34" s="95"/>
      <c r="N34" s="94"/>
      <c r="O34" s="94"/>
      <c r="P34" s="94"/>
      <c r="Q34" s="94"/>
      <c r="R34" s="95"/>
      <c r="S34" s="94"/>
      <c r="T34" s="96"/>
      <c r="U34" s="96"/>
      <c r="V34" s="96"/>
    </row>
    <row r="35" spans="1:22" s="40" customFormat="1" ht="12.75">
      <c r="A35" s="90"/>
      <c r="B35" s="91"/>
      <c r="C35" s="92"/>
      <c r="D35" s="93"/>
      <c r="E35" s="92"/>
      <c r="F35" s="92"/>
      <c r="G35" s="92"/>
      <c r="H35" s="93"/>
      <c r="I35" s="93"/>
      <c r="J35" s="93"/>
      <c r="K35" s="94"/>
      <c r="L35" s="95"/>
      <c r="M35" s="95"/>
      <c r="N35" s="94"/>
      <c r="O35" s="94"/>
      <c r="P35" s="94"/>
      <c r="Q35" s="94"/>
      <c r="R35" s="95"/>
      <c r="S35" s="94"/>
      <c r="T35" s="96"/>
      <c r="U35" s="96"/>
      <c r="V35" s="96"/>
    </row>
    <row r="36" spans="1:22" s="40" customFormat="1" ht="12.75">
      <c r="A36" s="90"/>
      <c r="B36" s="91"/>
      <c r="C36" s="92"/>
      <c r="D36" s="93"/>
      <c r="E36" s="92"/>
      <c r="F36" s="92"/>
      <c r="G36" s="92"/>
      <c r="H36" s="93"/>
      <c r="I36" s="93"/>
      <c r="J36" s="93"/>
      <c r="K36" s="94"/>
      <c r="L36" s="95"/>
      <c r="M36" s="95"/>
      <c r="N36" s="94"/>
      <c r="O36" s="94"/>
      <c r="P36" s="94"/>
      <c r="Q36" s="94"/>
      <c r="R36" s="95"/>
      <c r="S36" s="94"/>
      <c r="T36" s="96"/>
      <c r="U36" s="96"/>
      <c r="V36" s="96"/>
    </row>
    <row r="37" spans="1:22" s="40" customFormat="1" ht="12.75">
      <c r="A37" s="90"/>
      <c r="B37" s="91"/>
      <c r="C37" s="92"/>
      <c r="D37" s="93"/>
      <c r="E37" s="92"/>
      <c r="F37" s="92"/>
      <c r="G37" s="92"/>
      <c r="H37" s="93"/>
      <c r="I37" s="93"/>
      <c r="J37" s="93"/>
      <c r="K37" s="94"/>
      <c r="L37" s="95"/>
      <c r="M37" s="95"/>
      <c r="N37" s="94"/>
      <c r="O37" s="94"/>
      <c r="P37" s="94"/>
      <c r="Q37" s="94"/>
      <c r="R37" s="95"/>
      <c r="S37" s="94"/>
      <c r="T37" s="96"/>
      <c r="U37" s="96"/>
      <c r="V37" s="96"/>
    </row>
    <row r="38" spans="1:22" s="40" customFormat="1" ht="12.75">
      <c r="A38" s="90"/>
      <c r="B38" s="91"/>
      <c r="C38" s="92"/>
      <c r="D38" s="93"/>
      <c r="E38" s="92"/>
      <c r="F38" s="92"/>
      <c r="G38" s="92"/>
      <c r="H38" s="93"/>
      <c r="I38" s="93"/>
      <c r="J38" s="93"/>
      <c r="K38" s="94"/>
      <c r="L38" s="95"/>
      <c r="M38" s="95"/>
      <c r="N38" s="94"/>
      <c r="O38" s="94"/>
      <c r="P38" s="94"/>
      <c r="Q38" s="94"/>
      <c r="R38" s="95"/>
      <c r="S38" s="94"/>
      <c r="T38" s="96"/>
      <c r="U38" s="96"/>
      <c r="V38" s="96"/>
    </row>
    <row r="39" ht="13.5" customHeight="1" thickBot="1">
      <c r="V39" s="41" t="s">
        <v>13</v>
      </c>
    </row>
    <row r="40" spans="1:22" s="1" customFormat="1" ht="11.25" customHeight="1">
      <c r="A40" s="121" t="s">
        <v>15</v>
      </c>
      <c r="B40" s="124" t="s">
        <v>18</v>
      </c>
      <c r="C40" s="127" t="s">
        <v>25</v>
      </c>
      <c r="D40" s="127"/>
      <c r="E40" s="127"/>
      <c r="F40" s="127"/>
      <c r="G40" s="127"/>
      <c r="H40" s="127"/>
      <c r="I40" s="127"/>
      <c r="J40" s="127"/>
      <c r="K40" s="127" t="s">
        <v>37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/>
    </row>
    <row r="41" spans="1:22" s="1" customFormat="1" ht="21.75" customHeight="1">
      <c r="A41" s="122"/>
      <c r="B41" s="125"/>
      <c r="C41" s="120" t="s">
        <v>27</v>
      </c>
      <c r="D41" s="131" t="s">
        <v>0</v>
      </c>
      <c r="E41" s="120" t="s">
        <v>22</v>
      </c>
      <c r="F41" s="116" t="s">
        <v>1</v>
      </c>
      <c r="G41" s="117"/>
      <c r="H41" s="118"/>
      <c r="I41" s="119" t="s">
        <v>38</v>
      </c>
      <c r="J41" s="119"/>
      <c r="K41" s="120" t="s">
        <v>21</v>
      </c>
      <c r="L41" s="110" t="s">
        <v>3</v>
      </c>
      <c r="M41" s="114"/>
      <c r="N41" s="110" t="s">
        <v>7</v>
      </c>
      <c r="O41" s="111"/>
      <c r="P41" s="111"/>
      <c r="Q41" s="111"/>
      <c r="R41" s="111"/>
      <c r="S41" s="112"/>
      <c r="T41" s="110" t="s">
        <v>8</v>
      </c>
      <c r="U41" s="113"/>
      <c r="V41" s="115"/>
    </row>
    <row r="42" spans="1:22" s="1" customFormat="1" ht="77.25" customHeight="1">
      <c r="A42" s="123"/>
      <c r="B42" s="126"/>
      <c r="C42" s="120"/>
      <c r="D42" s="131"/>
      <c r="E42" s="120"/>
      <c r="F42" s="12" t="s">
        <v>5</v>
      </c>
      <c r="G42" s="12" t="s">
        <v>4</v>
      </c>
      <c r="H42" s="11" t="s">
        <v>20</v>
      </c>
      <c r="I42" s="11" t="s">
        <v>16</v>
      </c>
      <c r="J42" s="12" t="s">
        <v>4</v>
      </c>
      <c r="K42" s="120"/>
      <c r="L42" s="74" t="s">
        <v>6</v>
      </c>
      <c r="M42" s="11" t="s">
        <v>24</v>
      </c>
      <c r="N42" s="11" t="s">
        <v>23</v>
      </c>
      <c r="O42" s="11" t="s">
        <v>40</v>
      </c>
      <c r="P42" s="14" t="s">
        <v>5</v>
      </c>
      <c r="Q42" s="12" t="s">
        <v>4</v>
      </c>
      <c r="R42" s="11" t="s">
        <v>20</v>
      </c>
      <c r="S42" s="11" t="s">
        <v>28</v>
      </c>
      <c r="T42" s="13" t="s">
        <v>6</v>
      </c>
      <c r="U42" s="11" t="s">
        <v>17</v>
      </c>
      <c r="V42" s="15" t="s">
        <v>4</v>
      </c>
    </row>
    <row r="43" spans="1:22" s="48" customFormat="1" ht="9" customHeight="1">
      <c r="A43" s="43">
        <v>1</v>
      </c>
      <c r="B43" s="44">
        <v>2</v>
      </c>
      <c r="C43" s="44">
        <v>3</v>
      </c>
      <c r="D43" s="45">
        <v>4</v>
      </c>
      <c r="E43" s="45">
        <v>5</v>
      </c>
      <c r="F43" s="45">
        <v>6</v>
      </c>
      <c r="G43" s="45">
        <v>7</v>
      </c>
      <c r="H43" s="45">
        <v>8</v>
      </c>
      <c r="I43" s="45">
        <v>9</v>
      </c>
      <c r="J43" s="45">
        <v>10</v>
      </c>
      <c r="K43" s="45">
        <v>11</v>
      </c>
      <c r="L43" s="45">
        <v>12</v>
      </c>
      <c r="M43" s="44">
        <v>13</v>
      </c>
      <c r="N43" s="44">
        <v>14</v>
      </c>
      <c r="O43" s="45">
        <v>14</v>
      </c>
      <c r="P43" s="46">
        <v>15</v>
      </c>
      <c r="Q43" s="45">
        <v>16</v>
      </c>
      <c r="R43" s="45">
        <v>17</v>
      </c>
      <c r="S43" s="45">
        <v>18</v>
      </c>
      <c r="T43" s="45">
        <v>19</v>
      </c>
      <c r="U43" s="45">
        <v>20</v>
      </c>
      <c r="V43" s="47">
        <v>21</v>
      </c>
    </row>
    <row r="44" spans="1:22" s="1" customFormat="1" ht="11.25" customHeight="1">
      <c r="A44" s="16" t="s">
        <v>10</v>
      </c>
      <c r="B44" s="17"/>
      <c r="C44" s="18"/>
      <c r="D44" s="19"/>
      <c r="E44" s="19"/>
      <c r="F44" s="19"/>
      <c r="G44" s="19"/>
      <c r="H44" s="19"/>
      <c r="I44" s="20"/>
      <c r="J44" s="20"/>
      <c r="K44" s="21"/>
      <c r="L44" s="21"/>
      <c r="M44" s="21"/>
      <c r="N44" s="21"/>
      <c r="O44" s="21"/>
      <c r="P44" s="22"/>
      <c r="Q44" s="21"/>
      <c r="R44" s="21"/>
      <c r="S44" s="21"/>
      <c r="T44" s="21"/>
      <c r="U44" s="21"/>
      <c r="V44" s="23"/>
    </row>
    <row r="45" spans="1:22" s="1" customFormat="1" ht="22.5" customHeight="1">
      <c r="A45" s="24" t="s">
        <v>43</v>
      </c>
      <c r="B45" s="75"/>
      <c r="C45" s="51">
        <f>E45</f>
        <v>0.08359590220385674</v>
      </c>
      <c r="D45" s="25"/>
      <c r="E45" s="51">
        <f>F45+G45</f>
        <v>0.08359590220385674</v>
      </c>
      <c r="F45" s="51">
        <f>P45/6096</f>
        <v>0.08298898071625344</v>
      </c>
      <c r="G45" s="51">
        <f>Q45/6096</f>
        <v>0.0006069214876033058</v>
      </c>
      <c r="H45" s="25"/>
      <c r="I45" s="25"/>
      <c r="J45" s="25"/>
      <c r="K45" s="51">
        <f>N45</f>
        <v>509.6006198347107</v>
      </c>
      <c r="L45" s="25"/>
      <c r="M45" s="25"/>
      <c r="N45" s="51">
        <f>SUM(P45:S45)</f>
        <v>509.6006198347107</v>
      </c>
      <c r="O45" s="51">
        <f>482/242*254</f>
        <v>505.900826446281</v>
      </c>
      <c r="P45" s="51">
        <f>O45-S45</f>
        <v>505.900826446281</v>
      </c>
      <c r="Q45" s="26">
        <f>T45*0.05</f>
        <v>3.699793388429752</v>
      </c>
      <c r="R45" s="26"/>
      <c r="S45" s="51"/>
      <c r="T45" s="77">
        <f>V45</f>
        <v>73.99586776859503</v>
      </c>
      <c r="U45" s="63"/>
      <c r="V45" s="79">
        <f>70.5/242*254</f>
        <v>73.99586776859503</v>
      </c>
    </row>
    <row r="46" spans="1:22" s="42" customFormat="1" ht="11.25" customHeight="1">
      <c r="A46" s="24" t="s">
        <v>44</v>
      </c>
      <c r="B46" s="76"/>
      <c r="C46" s="51">
        <f>E46</f>
        <v>0.021659779614325064</v>
      </c>
      <c r="D46" s="20"/>
      <c r="E46" s="51">
        <f>F46+G46</f>
        <v>0.021659779614325064</v>
      </c>
      <c r="F46" s="51">
        <f>P46/6096</f>
        <v>0.021659779614325064</v>
      </c>
      <c r="G46" s="51"/>
      <c r="H46" s="20"/>
      <c r="I46" s="20"/>
      <c r="J46" s="20"/>
      <c r="K46" s="51">
        <f>N46</f>
        <v>132.0380165289256</v>
      </c>
      <c r="L46" s="21"/>
      <c r="M46" s="21"/>
      <c r="N46" s="51">
        <f>SUM(P46:S46)</f>
        <v>132.0380165289256</v>
      </c>
      <c r="O46" s="52">
        <f>125.8/242*254</f>
        <v>132.0380165289256</v>
      </c>
      <c r="P46" s="51">
        <f>O46-S46</f>
        <v>132.0380165289256</v>
      </c>
      <c r="Q46" s="51"/>
      <c r="R46" s="21"/>
      <c r="S46" s="54"/>
      <c r="T46" s="63"/>
      <c r="U46" s="63"/>
      <c r="V46" s="64"/>
    </row>
    <row r="47" spans="1:22" s="42" customFormat="1" ht="11.25" customHeight="1">
      <c r="A47" s="24" t="s">
        <v>45</v>
      </c>
      <c r="B47" s="75"/>
      <c r="C47" s="51">
        <f>E47</f>
        <v>0.004652548209366391</v>
      </c>
      <c r="D47" s="20"/>
      <c r="E47" s="51">
        <f>F47+G47</f>
        <v>0.004652548209366391</v>
      </c>
      <c r="F47" s="51">
        <f>P47/6096</f>
        <v>0.004493801652892562</v>
      </c>
      <c r="G47" s="51">
        <f>Q47/6096</f>
        <v>0.0001587465564738292</v>
      </c>
      <c r="H47" s="20"/>
      <c r="I47" s="20"/>
      <c r="J47" s="20"/>
      <c r="K47" s="51">
        <f>N47</f>
        <v>28.36193388429752</v>
      </c>
      <c r="L47" s="21"/>
      <c r="M47" s="21"/>
      <c r="N47" s="51">
        <f>SUM(P47:S47)</f>
        <v>28.36193388429752</v>
      </c>
      <c r="O47" s="51">
        <f>26.1/242*254</f>
        <v>27.394214876033057</v>
      </c>
      <c r="P47" s="51">
        <f>O47-S47</f>
        <v>27.394214876033057</v>
      </c>
      <c r="Q47" s="51">
        <f>T47*0.05</f>
        <v>0.9677190082644629</v>
      </c>
      <c r="R47" s="21"/>
      <c r="S47" s="54"/>
      <c r="T47" s="63">
        <f>V47</f>
        <v>19.354380165289257</v>
      </c>
      <c r="U47" s="63"/>
      <c r="V47" s="64">
        <f>18.44/242*254</f>
        <v>19.354380165289257</v>
      </c>
    </row>
    <row r="48" spans="1:22" s="42" customFormat="1" ht="22.5" customHeight="1">
      <c r="A48" s="24" t="s">
        <v>46</v>
      </c>
      <c r="B48" s="75"/>
      <c r="C48" s="51">
        <f>E48</f>
        <v>0.0036019283746556476</v>
      </c>
      <c r="D48" s="20"/>
      <c r="E48" s="51">
        <f>F48+G48</f>
        <v>0.0036019283746556476</v>
      </c>
      <c r="F48" s="51">
        <f>P48/6096</f>
        <v>0.0036019283746556476</v>
      </c>
      <c r="G48" s="51"/>
      <c r="H48" s="20"/>
      <c r="I48" s="20"/>
      <c r="J48" s="20"/>
      <c r="K48" s="51">
        <f>N48</f>
        <v>21.957355371900828</v>
      </c>
      <c r="L48" s="21"/>
      <c r="M48" s="21"/>
      <c r="N48" s="51">
        <f>SUM(P48:S48)</f>
        <v>21.957355371900828</v>
      </c>
      <c r="O48" s="51">
        <f>20.92/242*254</f>
        <v>21.957355371900828</v>
      </c>
      <c r="P48" s="51">
        <f>O48-S48</f>
        <v>21.957355371900828</v>
      </c>
      <c r="Q48" s="51"/>
      <c r="R48" s="21"/>
      <c r="S48" s="54"/>
      <c r="T48" s="63"/>
      <c r="U48" s="63"/>
      <c r="V48" s="65"/>
    </row>
    <row r="49" spans="1:22" s="33" customFormat="1" ht="12">
      <c r="A49" s="29" t="s">
        <v>29</v>
      </c>
      <c r="B49" s="30"/>
      <c r="C49" s="69">
        <f>SUM(C45:C48)</f>
        <v>0.11351015840220384</v>
      </c>
      <c r="D49" s="31"/>
      <c r="E49" s="69">
        <f>SUM(E45:E48)</f>
        <v>0.11351015840220384</v>
      </c>
      <c r="F49" s="69">
        <f>SUM(F45:F48)</f>
        <v>0.11274449035812671</v>
      </c>
      <c r="G49" s="69">
        <f>SUM(G45:G48)</f>
        <v>0.000765668044077135</v>
      </c>
      <c r="H49" s="31"/>
      <c r="I49" s="31"/>
      <c r="J49" s="31"/>
      <c r="K49" s="56">
        <f>SUM(K45:K48)</f>
        <v>691.9579256198347</v>
      </c>
      <c r="L49" s="32"/>
      <c r="M49" s="32"/>
      <c r="N49" s="56">
        <f>SUM(N45:N48)</f>
        <v>691.9579256198347</v>
      </c>
      <c r="O49" s="56">
        <f>SUM(O45:O48)</f>
        <v>687.2904132231405</v>
      </c>
      <c r="P49" s="34">
        <f>SUM(P44:P48)</f>
        <v>687.2904132231405</v>
      </c>
      <c r="Q49" s="56">
        <f>SUM(Q44:Q48)</f>
        <v>4.667512396694215</v>
      </c>
      <c r="R49" s="32"/>
      <c r="S49" s="56"/>
      <c r="T49" s="34">
        <f>SUM(T45:T48)</f>
        <v>93.35024793388429</v>
      </c>
      <c r="U49" s="34"/>
      <c r="V49" s="66">
        <f>SUM(V45:V48)</f>
        <v>93.35024793388429</v>
      </c>
    </row>
    <row r="50" spans="1:22" s="1" customFormat="1" ht="11.25" customHeight="1">
      <c r="A50" s="16" t="s">
        <v>11</v>
      </c>
      <c r="B50" s="27"/>
      <c r="C50" s="60"/>
      <c r="D50" s="19"/>
      <c r="E50" s="19"/>
      <c r="F50" s="28"/>
      <c r="G50" s="51"/>
      <c r="H50" s="19"/>
      <c r="I50" s="20"/>
      <c r="J50" s="20"/>
      <c r="K50" s="54"/>
      <c r="L50" s="21"/>
      <c r="M50" s="21"/>
      <c r="N50" s="51"/>
      <c r="O50" s="53"/>
      <c r="P50" s="53"/>
      <c r="Q50" s="54"/>
      <c r="R50" s="21"/>
      <c r="S50" s="21"/>
      <c r="T50" s="67"/>
      <c r="U50" s="67"/>
      <c r="V50" s="64"/>
    </row>
    <row r="51" spans="1:22" s="1" customFormat="1" ht="11.25" customHeight="1">
      <c r="A51" s="24" t="s">
        <v>47</v>
      </c>
      <c r="B51" s="27"/>
      <c r="C51" s="51">
        <f>E51</f>
        <v>0.006830750688705235</v>
      </c>
      <c r="D51" s="19"/>
      <c r="E51" s="51">
        <f>F51+G51</f>
        <v>0.006830750688705235</v>
      </c>
      <c r="F51" s="51">
        <f>P51/6096</f>
        <v>0.006559917355371902</v>
      </c>
      <c r="G51" s="51">
        <f>Q51/6096</f>
        <v>0.0002708333333333334</v>
      </c>
      <c r="H51" s="19"/>
      <c r="I51" s="20"/>
      <c r="J51" s="20"/>
      <c r="K51" s="54">
        <f>N51</f>
        <v>41.64025619834712</v>
      </c>
      <c r="L51" s="21"/>
      <c r="M51" s="21"/>
      <c r="N51" s="51">
        <f>SUM(P51:S51)</f>
        <v>41.64025619834712</v>
      </c>
      <c r="O51" s="54">
        <f>38.1/242*254</f>
        <v>39.989256198347114</v>
      </c>
      <c r="P51" s="54">
        <f>O51-S51</f>
        <v>39.989256198347114</v>
      </c>
      <c r="Q51" s="51">
        <f aca="true" t="shared" si="3" ref="Q51:Q56">T51*0.05</f>
        <v>1.6510000000000002</v>
      </c>
      <c r="R51" s="21"/>
      <c r="S51" s="58"/>
      <c r="T51" s="63">
        <f>V51</f>
        <v>33.02</v>
      </c>
      <c r="U51" s="63"/>
      <c r="V51" s="64">
        <f>31.46/242*254</f>
        <v>33.02</v>
      </c>
    </row>
    <row r="52" spans="1:22" s="1" customFormat="1" ht="11.25" customHeight="1">
      <c r="A52" s="24" t="s">
        <v>48</v>
      </c>
      <c r="B52" s="27"/>
      <c r="C52" s="51">
        <f>E52</f>
        <v>0.008481577134986224</v>
      </c>
      <c r="D52" s="19"/>
      <c r="E52" s="51">
        <f>F52+G52</f>
        <v>0.008481577134986224</v>
      </c>
      <c r="F52" s="51">
        <f>P52/6096</f>
        <v>0.008075068870523415</v>
      </c>
      <c r="G52" s="51">
        <f>Q52/6096</f>
        <v>0.0004065082644628099</v>
      </c>
      <c r="H52" s="19"/>
      <c r="I52" s="20"/>
      <c r="J52" s="20"/>
      <c r="K52" s="54">
        <f>N52</f>
        <v>51.70369421487603</v>
      </c>
      <c r="L52" s="21"/>
      <c r="M52" s="21"/>
      <c r="N52" s="51">
        <f>SUM(P52:S52)</f>
        <v>51.70369421487603</v>
      </c>
      <c r="O52" s="73">
        <f>46.9/242*254</f>
        <v>49.22561983471074</v>
      </c>
      <c r="P52" s="54">
        <f>O52-S52</f>
        <v>49.22561983471074</v>
      </c>
      <c r="Q52" s="51">
        <f t="shared" si="3"/>
        <v>2.4780743801652894</v>
      </c>
      <c r="R52" s="21"/>
      <c r="S52" s="58"/>
      <c r="T52" s="63">
        <f>V52</f>
        <v>49.561487603305785</v>
      </c>
      <c r="U52" s="63"/>
      <c r="V52" s="65">
        <f>47.22/242*254</f>
        <v>49.561487603305785</v>
      </c>
    </row>
    <row r="53" spans="1:22" s="1" customFormat="1" ht="22.5" customHeight="1">
      <c r="A53" s="24" t="s">
        <v>49</v>
      </c>
      <c r="B53" s="27"/>
      <c r="C53" s="51">
        <f>E53</f>
        <v>0.012207300275482095</v>
      </c>
      <c r="D53" s="19"/>
      <c r="E53" s="51">
        <f>F53+G53</f>
        <v>0.012207300275482095</v>
      </c>
      <c r="F53" s="51">
        <f>P53/6096</f>
        <v>0.012207300275482095</v>
      </c>
      <c r="G53" s="51"/>
      <c r="H53" s="19"/>
      <c r="I53" s="20"/>
      <c r="J53" s="20"/>
      <c r="K53" s="51">
        <f>N53</f>
        <v>74.41570247933885</v>
      </c>
      <c r="L53" s="21"/>
      <c r="M53" s="21"/>
      <c r="N53" s="51">
        <f>SUM(P53:S53)</f>
        <v>74.41570247933885</v>
      </c>
      <c r="O53" s="51">
        <f>70.9/242*254</f>
        <v>74.41570247933885</v>
      </c>
      <c r="P53" s="51">
        <f>O53-S53</f>
        <v>74.41570247933885</v>
      </c>
      <c r="Q53" s="51"/>
      <c r="R53" s="21"/>
      <c r="S53" s="58"/>
      <c r="T53" s="63"/>
      <c r="U53" s="63"/>
      <c r="V53" s="65"/>
    </row>
    <row r="54" spans="1:22" s="1" customFormat="1" ht="11.25" customHeight="1">
      <c r="A54" s="24" t="s">
        <v>50</v>
      </c>
      <c r="B54" s="27"/>
      <c r="C54" s="51">
        <f>E54</f>
        <v>0.08404287190082643</v>
      </c>
      <c r="D54" s="19"/>
      <c r="E54" s="51">
        <f>F54+G54</f>
        <v>0.08404287190082643</v>
      </c>
      <c r="F54" s="51">
        <f>P54/6096</f>
        <v>0.08350550964187327</v>
      </c>
      <c r="G54" s="51">
        <f>Q54/6096</f>
        <v>0.000537362258953168</v>
      </c>
      <c r="H54" s="19"/>
      <c r="I54" s="20"/>
      <c r="J54" s="20"/>
      <c r="K54" s="54">
        <f>N54</f>
        <v>512.325347107438</v>
      </c>
      <c r="L54" s="21"/>
      <c r="M54" s="21"/>
      <c r="N54" s="51">
        <f>SUM(P54:S54)</f>
        <v>512.325347107438</v>
      </c>
      <c r="O54" s="54">
        <f>485/242*254</f>
        <v>509.0495867768595</v>
      </c>
      <c r="P54" s="22">
        <f>O54-S54</f>
        <v>509.0495867768595</v>
      </c>
      <c r="Q54" s="51">
        <f t="shared" si="3"/>
        <v>3.2757603305785126</v>
      </c>
      <c r="R54" s="21"/>
      <c r="S54" s="58"/>
      <c r="T54" s="63">
        <f>V54</f>
        <v>65.51520661157025</v>
      </c>
      <c r="U54" s="63"/>
      <c r="V54" s="65">
        <f>62.42/242*254</f>
        <v>65.51520661157025</v>
      </c>
    </row>
    <row r="55" spans="1:22" s="33" customFormat="1" ht="12">
      <c r="A55" s="29" t="s">
        <v>30</v>
      </c>
      <c r="B55" s="30"/>
      <c r="C55" s="69">
        <f>SUM(C51:C54)</f>
        <v>0.11156249999999998</v>
      </c>
      <c r="D55" s="69"/>
      <c r="E55" s="69">
        <f>SUM(E51:E54)</f>
        <v>0.11156249999999998</v>
      </c>
      <c r="F55" s="69">
        <f>SUM(F51:F54)</f>
        <v>0.11034779614325069</v>
      </c>
      <c r="G55" s="69">
        <f>SUM(G51:G54)</f>
        <v>0.0012147038567493114</v>
      </c>
      <c r="H55" s="31"/>
      <c r="I55" s="31"/>
      <c r="J55" s="31"/>
      <c r="K55" s="56">
        <f>SUM(K51:K54)</f>
        <v>680.085</v>
      </c>
      <c r="L55" s="32"/>
      <c r="M55" s="32"/>
      <c r="N55" s="56">
        <f>SUM(N51:N54)</f>
        <v>680.085</v>
      </c>
      <c r="O55" s="56">
        <f>SUM(O51:O54)</f>
        <v>672.6801652892561</v>
      </c>
      <c r="P55" s="105">
        <f>SUM(P51:P54)</f>
        <v>672.6801652892561</v>
      </c>
      <c r="Q55" s="56">
        <f>SUM(Q51:Q54)</f>
        <v>7.404834710743803</v>
      </c>
      <c r="R55" s="32"/>
      <c r="S55" s="62"/>
      <c r="T55" s="32">
        <f>SUM(T51:T54)</f>
        <v>148.09669421487604</v>
      </c>
      <c r="U55" s="32"/>
      <c r="V55" s="108">
        <f>SUM(V51:V54)</f>
        <v>148.09669421487604</v>
      </c>
    </row>
    <row r="56" spans="1:22" s="104" customFormat="1" ht="11.25" customHeight="1">
      <c r="A56" s="24" t="s">
        <v>26</v>
      </c>
      <c r="B56" s="27"/>
      <c r="C56" s="51">
        <f>E56</f>
        <v>0.5620524276859504</v>
      </c>
      <c r="D56" s="27"/>
      <c r="E56" s="51">
        <f>F56+G56</f>
        <v>0.5620524276859504</v>
      </c>
      <c r="F56" s="51">
        <f>P56/6096</f>
        <v>0.412051652892562</v>
      </c>
      <c r="G56" s="51">
        <f>Q56/6096</f>
        <v>0.15000077479338844</v>
      </c>
      <c r="H56" s="27"/>
      <c r="I56" s="27"/>
      <c r="J56" s="27"/>
      <c r="K56" s="98">
        <f>N56</f>
        <v>3426.271599173554</v>
      </c>
      <c r="L56" s="99"/>
      <c r="M56" s="99"/>
      <c r="N56" s="98">
        <f>SUM(P56:S56)</f>
        <v>3426.271599173554</v>
      </c>
      <c r="O56" s="98">
        <f>2393.196/242*254</f>
        <v>2511.866876033058</v>
      </c>
      <c r="P56" s="58">
        <f>O56-S56</f>
        <v>2511.866876033058</v>
      </c>
      <c r="Q56" s="51">
        <f t="shared" si="3"/>
        <v>914.4047231404959</v>
      </c>
      <c r="R56" s="99"/>
      <c r="S56" s="98"/>
      <c r="T56" s="101">
        <f>V56</f>
        <v>18288.094462809917</v>
      </c>
      <c r="U56" s="102"/>
      <c r="V56" s="103">
        <f>17424.09/242*254</f>
        <v>18288.094462809917</v>
      </c>
    </row>
    <row r="57" spans="1:22" s="33" customFormat="1" ht="12">
      <c r="A57" s="29" t="s">
        <v>6</v>
      </c>
      <c r="B57" s="30"/>
      <c r="C57" s="70">
        <f>E57</f>
        <v>0.7871250860881542</v>
      </c>
      <c r="D57" s="31"/>
      <c r="E57" s="62">
        <f>E55+E56+E49</f>
        <v>0.7871250860881542</v>
      </c>
      <c r="F57" s="62">
        <f>F55+F56+F49</f>
        <v>0.6351439393939394</v>
      </c>
      <c r="G57" s="62">
        <f>G55+G56+G49</f>
        <v>0.1519811466942149</v>
      </c>
      <c r="H57" s="31"/>
      <c r="I57" s="31"/>
      <c r="J57" s="31"/>
      <c r="K57" s="56">
        <f>K55+K56+K49</f>
        <v>4798.314524793389</v>
      </c>
      <c r="L57" s="32"/>
      <c r="M57" s="32"/>
      <c r="N57" s="56">
        <f>N55+N56+N49</f>
        <v>4798.314524793389</v>
      </c>
      <c r="O57" s="56">
        <f>O55+O56+O49</f>
        <v>3871.8374545454544</v>
      </c>
      <c r="P57" s="56">
        <f>P55+P56+P49</f>
        <v>3871.8374545454544</v>
      </c>
      <c r="Q57" s="56">
        <f>Q55+Q56+Q49</f>
        <v>926.4770702479339</v>
      </c>
      <c r="R57" s="32"/>
      <c r="S57" s="56"/>
      <c r="T57" s="34">
        <f>T55+T56+T49</f>
        <v>18529.54140495868</v>
      </c>
      <c r="U57" s="34"/>
      <c r="V57" s="66">
        <f>V49+V55+V56</f>
        <v>18529.541404958676</v>
      </c>
    </row>
    <row r="58" spans="1:22" s="1" customFormat="1" ht="11.25" customHeight="1">
      <c r="A58" s="24" t="s">
        <v>19</v>
      </c>
      <c r="B58" s="27"/>
      <c r="C58" s="51">
        <f>E58</f>
        <v>0.010787190082644628</v>
      </c>
      <c r="D58" s="19"/>
      <c r="E58" s="51">
        <f>F58+G58</f>
        <v>0.010787190082644628</v>
      </c>
      <c r="F58" s="51">
        <f>P58/6096</f>
        <v>0.0026757920110192838</v>
      </c>
      <c r="G58" s="51">
        <f>Q58/6096</f>
        <v>0.008111398071625343</v>
      </c>
      <c r="H58" s="19"/>
      <c r="I58" s="20"/>
      <c r="J58" s="20"/>
      <c r="K58" s="55">
        <f>N58</f>
        <v>65.75871074380166</v>
      </c>
      <c r="L58" s="26"/>
      <c r="M58" s="26"/>
      <c r="N58" s="61">
        <f>SUM(P58:S58)</f>
        <v>65.75871074380166</v>
      </c>
      <c r="O58" s="55">
        <f>15.541/242*254</f>
        <v>16.311628099173554</v>
      </c>
      <c r="P58" s="55">
        <f>O58-S58</f>
        <v>16.311628099173554</v>
      </c>
      <c r="Q58" s="61">
        <f>T58*0.05</f>
        <v>49.4470826446281</v>
      </c>
      <c r="R58" s="26"/>
      <c r="S58" s="51"/>
      <c r="T58" s="63">
        <f>V58</f>
        <v>988.9416528925619</v>
      </c>
      <c r="U58" s="77"/>
      <c r="V58" s="65">
        <f>(713.3+228.92)/242*254</f>
        <v>988.9416528925619</v>
      </c>
    </row>
    <row r="59" spans="1:22" s="40" customFormat="1" ht="13.5" thickBot="1">
      <c r="A59" s="35" t="s">
        <v>12</v>
      </c>
      <c r="B59" s="36"/>
      <c r="C59" s="71">
        <f>C57+C58</f>
        <v>0.7979122761707989</v>
      </c>
      <c r="D59" s="38"/>
      <c r="E59" s="71">
        <f>E57+E58</f>
        <v>0.7979122761707989</v>
      </c>
      <c r="F59" s="71">
        <f>F57+F58</f>
        <v>0.6378197314049587</v>
      </c>
      <c r="G59" s="71">
        <f>G57+G58</f>
        <v>0.16009254476584023</v>
      </c>
      <c r="H59" s="38"/>
      <c r="I59" s="38"/>
      <c r="J59" s="38"/>
      <c r="K59" s="57">
        <f>K57+K58</f>
        <v>4864.073235537191</v>
      </c>
      <c r="L59" s="39"/>
      <c r="M59" s="39"/>
      <c r="N59" s="57">
        <f>N57+N58</f>
        <v>4864.073235537191</v>
      </c>
      <c r="O59" s="57">
        <f>O57+O58</f>
        <v>3888.149082644628</v>
      </c>
      <c r="P59" s="57">
        <f>P57+P58</f>
        <v>3888.149082644628</v>
      </c>
      <c r="Q59" s="57">
        <f>Q57+Q58</f>
        <v>975.924152892562</v>
      </c>
      <c r="R59" s="39"/>
      <c r="S59" s="89"/>
      <c r="T59" s="37">
        <f>T57+T58</f>
        <v>19518.48305785124</v>
      </c>
      <c r="U59" s="37"/>
      <c r="V59" s="68">
        <f>V57+V58</f>
        <v>19518.483057851237</v>
      </c>
    </row>
    <row r="60" spans="1:22" s="40" customFormat="1" ht="12.75">
      <c r="A60" s="90"/>
      <c r="B60" s="91"/>
      <c r="C60" s="92"/>
      <c r="D60" s="93"/>
      <c r="E60" s="92"/>
      <c r="F60" s="92"/>
      <c r="G60" s="92"/>
      <c r="H60" s="93"/>
      <c r="I60" s="93"/>
      <c r="J60" s="93"/>
      <c r="K60" s="94"/>
      <c r="L60" s="95"/>
      <c r="M60" s="95"/>
      <c r="N60" s="94"/>
      <c r="O60" s="94"/>
      <c r="P60" s="94"/>
      <c r="Q60" s="94"/>
      <c r="R60" s="95"/>
      <c r="S60" s="97"/>
      <c r="T60" s="96"/>
      <c r="U60" s="96"/>
      <c r="V60" s="96"/>
    </row>
    <row r="61" spans="1:22" s="40" customFormat="1" ht="12.75">
      <c r="A61" s="90"/>
      <c r="B61" s="91"/>
      <c r="C61" s="92"/>
      <c r="D61" s="93"/>
      <c r="E61" s="92"/>
      <c r="F61" s="92"/>
      <c r="G61" s="92"/>
      <c r="H61" s="93"/>
      <c r="I61" s="93"/>
      <c r="J61" s="93"/>
      <c r="K61" s="94"/>
      <c r="L61" s="95"/>
      <c r="M61" s="95"/>
      <c r="N61" s="94"/>
      <c r="O61" s="94"/>
      <c r="P61" s="94"/>
      <c r="Q61" s="94"/>
      <c r="R61" s="95"/>
      <c r="S61" s="97"/>
      <c r="T61" s="96"/>
      <c r="U61" s="96"/>
      <c r="V61" s="96"/>
    </row>
    <row r="62" spans="1:22" s="40" customFormat="1" ht="12.75">
      <c r="A62" s="90"/>
      <c r="B62" s="91"/>
      <c r="C62" s="92"/>
      <c r="D62" s="93"/>
      <c r="E62" s="92"/>
      <c r="F62" s="92"/>
      <c r="G62" s="92"/>
      <c r="H62" s="93"/>
      <c r="I62" s="93"/>
      <c r="J62" s="93"/>
      <c r="K62" s="94"/>
      <c r="L62" s="95"/>
      <c r="M62" s="95"/>
      <c r="N62" s="94"/>
      <c r="O62" s="94"/>
      <c r="P62" s="94"/>
      <c r="Q62" s="94"/>
      <c r="R62" s="95"/>
      <c r="S62" s="97"/>
      <c r="T62" s="96"/>
      <c r="U62" s="96"/>
      <c r="V62" s="96"/>
    </row>
    <row r="63" spans="1:22" s="40" customFormat="1" ht="12.75">
      <c r="A63" s="90"/>
      <c r="B63" s="91"/>
      <c r="C63" s="92"/>
      <c r="D63" s="93"/>
      <c r="E63" s="92"/>
      <c r="F63" s="92"/>
      <c r="G63" s="92"/>
      <c r="H63" s="93"/>
      <c r="I63" s="93"/>
      <c r="J63" s="93"/>
      <c r="K63" s="94"/>
      <c r="L63" s="95"/>
      <c r="M63" s="95"/>
      <c r="N63" s="94"/>
      <c r="O63" s="94"/>
      <c r="P63" s="94"/>
      <c r="Q63" s="94"/>
      <c r="R63" s="95"/>
      <c r="S63" s="97"/>
      <c r="T63" s="96"/>
      <c r="U63" s="96"/>
      <c r="V63" s="96"/>
    </row>
    <row r="64" spans="1:22" s="40" customFormat="1" ht="12.75">
      <c r="A64" s="90"/>
      <c r="B64" s="91"/>
      <c r="C64" s="92"/>
      <c r="D64" s="93"/>
      <c r="E64" s="92"/>
      <c r="F64" s="92"/>
      <c r="G64" s="92"/>
      <c r="H64" s="93"/>
      <c r="I64" s="93"/>
      <c r="J64" s="93"/>
      <c r="K64" s="94"/>
      <c r="L64" s="95"/>
      <c r="M64" s="95"/>
      <c r="N64" s="94"/>
      <c r="O64" s="94"/>
      <c r="P64" s="94"/>
      <c r="Q64" s="94"/>
      <c r="R64" s="95"/>
      <c r="S64" s="97"/>
      <c r="T64" s="96"/>
      <c r="U64" s="96"/>
      <c r="V64" s="96"/>
    </row>
    <row r="65" spans="1:22" s="40" customFormat="1" ht="12.75">
      <c r="A65" s="90"/>
      <c r="B65" s="91"/>
      <c r="C65" s="92"/>
      <c r="D65" s="93"/>
      <c r="E65" s="92"/>
      <c r="F65" s="92"/>
      <c r="G65" s="92"/>
      <c r="H65" s="93"/>
      <c r="I65" s="93"/>
      <c r="J65" s="93"/>
      <c r="K65" s="94"/>
      <c r="L65" s="95"/>
      <c r="M65" s="95"/>
      <c r="N65" s="94"/>
      <c r="O65" s="94"/>
      <c r="P65" s="94"/>
      <c r="Q65" s="94"/>
      <c r="R65" s="95"/>
      <c r="S65" s="97"/>
      <c r="T65" s="96"/>
      <c r="U65" s="96"/>
      <c r="V65" s="96"/>
    </row>
    <row r="66" spans="1:22" s="40" customFormat="1" ht="12.75">
      <c r="A66" s="90"/>
      <c r="B66" s="91"/>
      <c r="C66" s="92"/>
      <c r="D66" s="93"/>
      <c r="E66" s="92"/>
      <c r="F66" s="92"/>
      <c r="G66" s="92"/>
      <c r="H66" s="93"/>
      <c r="I66" s="93"/>
      <c r="J66" s="93"/>
      <c r="K66" s="94"/>
      <c r="L66" s="95"/>
      <c r="M66" s="95"/>
      <c r="N66" s="94"/>
      <c r="O66" s="94"/>
      <c r="P66" s="94"/>
      <c r="Q66" s="94"/>
      <c r="R66" s="95"/>
      <c r="S66" s="97"/>
      <c r="T66" s="96"/>
      <c r="U66" s="96"/>
      <c r="V66" s="96"/>
    </row>
    <row r="67" spans="1:22" s="40" customFormat="1" ht="12.75">
      <c r="A67" s="90"/>
      <c r="B67" s="91"/>
      <c r="C67" s="92"/>
      <c r="D67" s="93"/>
      <c r="E67" s="92"/>
      <c r="F67" s="92"/>
      <c r="G67" s="92"/>
      <c r="H67" s="93"/>
      <c r="I67" s="93"/>
      <c r="J67" s="93"/>
      <c r="K67" s="94"/>
      <c r="L67" s="95"/>
      <c r="M67" s="95"/>
      <c r="N67" s="94"/>
      <c r="O67" s="94"/>
      <c r="P67" s="94"/>
      <c r="Q67" s="94"/>
      <c r="R67" s="95"/>
      <c r="S67" s="97"/>
      <c r="T67" s="96"/>
      <c r="U67" s="96"/>
      <c r="V67" s="96"/>
    </row>
    <row r="68" spans="1:22" s="40" customFormat="1" ht="12.75">
      <c r="A68" s="90"/>
      <c r="B68" s="91"/>
      <c r="C68" s="92"/>
      <c r="D68" s="93"/>
      <c r="E68" s="92"/>
      <c r="F68" s="92"/>
      <c r="G68" s="92"/>
      <c r="H68" s="93"/>
      <c r="I68" s="93"/>
      <c r="J68" s="93"/>
      <c r="K68" s="94"/>
      <c r="L68" s="95"/>
      <c r="M68" s="95"/>
      <c r="N68" s="94"/>
      <c r="O68" s="94"/>
      <c r="P68" s="94"/>
      <c r="Q68" s="94"/>
      <c r="R68" s="95"/>
      <c r="S68" s="97"/>
      <c r="T68" s="96"/>
      <c r="U68" s="96"/>
      <c r="V68" s="96"/>
    </row>
    <row r="69" spans="1:22" s="40" customFormat="1" ht="12.75">
      <c r="A69" s="90"/>
      <c r="B69" s="91"/>
      <c r="C69" s="92"/>
      <c r="D69" s="93"/>
      <c r="E69" s="92"/>
      <c r="F69" s="92"/>
      <c r="G69" s="92"/>
      <c r="H69" s="93"/>
      <c r="I69" s="93"/>
      <c r="J69" s="93"/>
      <c r="K69" s="94"/>
      <c r="L69" s="95"/>
      <c r="M69" s="95"/>
      <c r="N69" s="94"/>
      <c r="O69" s="94"/>
      <c r="P69" s="94"/>
      <c r="Q69" s="94"/>
      <c r="R69" s="95"/>
      <c r="S69" s="97"/>
      <c r="T69" s="96"/>
      <c r="U69" s="96"/>
      <c r="V69" s="96"/>
    </row>
    <row r="70" spans="1:22" s="40" customFormat="1" ht="12.75">
      <c r="A70" s="90"/>
      <c r="B70" s="91"/>
      <c r="C70" s="92"/>
      <c r="D70" s="93"/>
      <c r="E70" s="92"/>
      <c r="F70" s="92"/>
      <c r="G70" s="92"/>
      <c r="H70" s="93"/>
      <c r="I70" s="93"/>
      <c r="J70" s="93"/>
      <c r="K70" s="94"/>
      <c r="L70" s="95"/>
      <c r="M70" s="95"/>
      <c r="N70" s="94"/>
      <c r="O70" s="94"/>
      <c r="P70" s="94"/>
      <c r="Q70" s="94"/>
      <c r="R70" s="95"/>
      <c r="S70" s="97"/>
      <c r="T70" s="96"/>
      <c r="U70" s="96"/>
      <c r="V70" s="96"/>
    </row>
    <row r="71" spans="1:22" s="40" customFormat="1" ht="12.75">
      <c r="A71" s="90"/>
      <c r="B71" s="91"/>
      <c r="C71" s="92"/>
      <c r="D71" s="93"/>
      <c r="E71" s="92"/>
      <c r="F71" s="92"/>
      <c r="G71" s="92"/>
      <c r="H71" s="93"/>
      <c r="I71" s="93"/>
      <c r="J71" s="93"/>
      <c r="K71" s="94"/>
      <c r="L71" s="95"/>
      <c r="M71" s="95"/>
      <c r="N71" s="94"/>
      <c r="O71" s="94"/>
      <c r="P71" s="94"/>
      <c r="Q71" s="94"/>
      <c r="R71" s="95"/>
      <c r="S71" s="97"/>
      <c r="T71" s="96"/>
      <c r="U71" s="96"/>
      <c r="V71" s="96"/>
    </row>
    <row r="72" spans="1:22" s="40" customFormat="1" ht="12.75">
      <c r="A72" s="90"/>
      <c r="B72" s="91"/>
      <c r="C72" s="92"/>
      <c r="D72" s="93"/>
      <c r="E72" s="92"/>
      <c r="F72" s="92"/>
      <c r="G72" s="92"/>
      <c r="H72" s="93"/>
      <c r="I72" s="93"/>
      <c r="J72" s="93"/>
      <c r="K72" s="94"/>
      <c r="L72" s="95"/>
      <c r="M72" s="95"/>
      <c r="N72" s="94"/>
      <c r="O72" s="94"/>
      <c r="P72" s="94"/>
      <c r="Q72" s="94"/>
      <c r="R72" s="95"/>
      <c r="S72" s="97"/>
      <c r="T72" s="96"/>
      <c r="U72" s="96"/>
      <c r="V72" s="96"/>
    </row>
    <row r="73" spans="1:22" s="40" customFormat="1" ht="12.75">
      <c r="A73" s="90"/>
      <c r="B73" s="91"/>
      <c r="C73" s="92"/>
      <c r="D73" s="93"/>
      <c r="E73" s="92"/>
      <c r="F73" s="92"/>
      <c r="G73" s="92"/>
      <c r="H73" s="93"/>
      <c r="I73" s="93"/>
      <c r="J73" s="93"/>
      <c r="K73" s="94"/>
      <c r="L73" s="95"/>
      <c r="M73" s="95"/>
      <c r="N73" s="94"/>
      <c r="O73" s="94"/>
      <c r="P73" s="94"/>
      <c r="Q73" s="94"/>
      <c r="R73" s="95"/>
      <c r="S73" s="97"/>
      <c r="T73" s="96"/>
      <c r="U73" s="96"/>
      <c r="V73" s="96"/>
    </row>
    <row r="74" spans="1:22" s="40" customFormat="1" ht="12.75">
      <c r="A74" s="90"/>
      <c r="B74" s="91"/>
      <c r="C74" s="92"/>
      <c r="D74" s="93"/>
      <c r="E74" s="92"/>
      <c r="F74" s="92"/>
      <c r="G74" s="92"/>
      <c r="H74" s="93"/>
      <c r="I74" s="93"/>
      <c r="J74" s="93"/>
      <c r="K74" s="94"/>
      <c r="L74" s="95"/>
      <c r="M74" s="95"/>
      <c r="N74" s="94"/>
      <c r="O74" s="94"/>
      <c r="P74" s="94"/>
      <c r="Q74" s="94"/>
      <c r="R74" s="95"/>
      <c r="S74" s="97"/>
      <c r="T74" s="96"/>
      <c r="U74" s="96"/>
      <c r="V74" s="96"/>
    </row>
    <row r="75" spans="1:22" s="40" customFormat="1" ht="12.75">
      <c r="A75" s="90"/>
      <c r="B75" s="91"/>
      <c r="C75" s="92"/>
      <c r="D75" s="93"/>
      <c r="E75" s="92"/>
      <c r="F75" s="92"/>
      <c r="G75" s="92"/>
      <c r="H75" s="93"/>
      <c r="I75" s="93"/>
      <c r="J75" s="93"/>
      <c r="K75" s="94"/>
      <c r="L75" s="95"/>
      <c r="M75" s="95"/>
      <c r="N75" s="94"/>
      <c r="O75" s="94"/>
      <c r="P75" s="94"/>
      <c r="Q75" s="94"/>
      <c r="R75" s="95"/>
      <c r="S75" s="97"/>
      <c r="T75" s="96"/>
      <c r="U75" s="96"/>
      <c r="V75" s="96"/>
    </row>
    <row r="76" spans="1:22" s="40" customFormat="1" ht="12.75">
      <c r="A76" s="90"/>
      <c r="B76" s="91"/>
      <c r="C76" s="92"/>
      <c r="D76" s="93"/>
      <c r="E76" s="92"/>
      <c r="F76" s="92"/>
      <c r="G76" s="92"/>
      <c r="H76" s="93"/>
      <c r="I76" s="93"/>
      <c r="J76" s="93"/>
      <c r="K76" s="94"/>
      <c r="L76" s="95"/>
      <c r="M76" s="95"/>
      <c r="N76" s="94"/>
      <c r="O76" s="94"/>
      <c r="P76" s="94"/>
      <c r="Q76" s="94"/>
      <c r="R76" s="95"/>
      <c r="S76" s="97"/>
      <c r="T76" s="96"/>
      <c r="U76" s="96"/>
      <c r="V76" s="96"/>
    </row>
    <row r="77" spans="1:22" s="40" customFormat="1" ht="12.75">
      <c r="A77" s="90"/>
      <c r="B77" s="91"/>
      <c r="C77" s="92"/>
      <c r="D77" s="93"/>
      <c r="E77" s="92"/>
      <c r="F77" s="92"/>
      <c r="G77" s="92"/>
      <c r="H77" s="93"/>
      <c r="I77" s="93"/>
      <c r="J77" s="93"/>
      <c r="K77" s="94"/>
      <c r="L77" s="95"/>
      <c r="M77" s="95"/>
      <c r="N77" s="94"/>
      <c r="O77" s="94"/>
      <c r="P77" s="94"/>
      <c r="Q77" s="94"/>
      <c r="R77" s="95"/>
      <c r="S77" s="97"/>
      <c r="T77" s="96"/>
      <c r="U77" s="96"/>
      <c r="V77" s="96"/>
    </row>
    <row r="78" ht="13.5" thickBot="1">
      <c r="V78" s="50" t="s">
        <v>32</v>
      </c>
    </row>
    <row r="79" spans="1:22" s="1" customFormat="1" ht="11.25" customHeight="1">
      <c r="A79" s="121" t="s">
        <v>15</v>
      </c>
      <c r="B79" s="124" t="s">
        <v>18</v>
      </c>
      <c r="C79" s="127" t="s">
        <v>14</v>
      </c>
      <c r="D79" s="127"/>
      <c r="E79" s="127"/>
      <c r="F79" s="127"/>
      <c r="G79" s="127"/>
      <c r="H79" s="127"/>
      <c r="I79" s="127"/>
      <c r="J79" s="127"/>
      <c r="K79" s="128" t="s">
        <v>36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30"/>
    </row>
    <row r="80" spans="1:22" s="1" customFormat="1" ht="21.75" customHeight="1">
      <c r="A80" s="122"/>
      <c r="B80" s="125"/>
      <c r="C80" s="120" t="s">
        <v>27</v>
      </c>
      <c r="D80" s="131" t="s">
        <v>0</v>
      </c>
      <c r="E80" s="120" t="s">
        <v>22</v>
      </c>
      <c r="F80" s="116" t="s">
        <v>1</v>
      </c>
      <c r="G80" s="117"/>
      <c r="H80" s="118"/>
      <c r="I80" s="119" t="s">
        <v>2</v>
      </c>
      <c r="J80" s="119"/>
      <c r="K80" s="120" t="s">
        <v>21</v>
      </c>
      <c r="L80" s="110" t="s">
        <v>3</v>
      </c>
      <c r="M80" s="114"/>
      <c r="N80" s="78"/>
      <c r="O80" s="110" t="s">
        <v>7</v>
      </c>
      <c r="P80" s="113"/>
      <c r="Q80" s="113"/>
      <c r="R80" s="113"/>
      <c r="S80" s="114"/>
      <c r="T80" s="110" t="s">
        <v>8</v>
      </c>
      <c r="U80" s="113"/>
      <c r="V80" s="115"/>
    </row>
    <row r="81" spans="1:22" s="1" customFormat="1" ht="77.25" customHeight="1">
      <c r="A81" s="123"/>
      <c r="B81" s="126"/>
      <c r="C81" s="120"/>
      <c r="D81" s="131"/>
      <c r="E81" s="120"/>
      <c r="F81" s="12" t="s">
        <v>5</v>
      </c>
      <c r="G81" s="12" t="s">
        <v>4</v>
      </c>
      <c r="H81" s="11" t="s">
        <v>20</v>
      </c>
      <c r="I81" s="11" t="s">
        <v>16</v>
      </c>
      <c r="J81" s="12" t="s">
        <v>4</v>
      </c>
      <c r="K81" s="120"/>
      <c r="L81" s="74" t="s">
        <v>6</v>
      </c>
      <c r="M81" s="11" t="s">
        <v>24</v>
      </c>
      <c r="N81" s="11" t="s">
        <v>23</v>
      </c>
      <c r="O81" s="11" t="s">
        <v>40</v>
      </c>
      <c r="P81" s="14" t="s">
        <v>5</v>
      </c>
      <c r="Q81" s="12" t="s">
        <v>4</v>
      </c>
      <c r="R81" s="11" t="s">
        <v>20</v>
      </c>
      <c r="S81" s="11" t="s">
        <v>28</v>
      </c>
      <c r="T81" s="13" t="s">
        <v>6</v>
      </c>
      <c r="U81" s="11" t="s">
        <v>17</v>
      </c>
      <c r="V81" s="15" t="s">
        <v>4</v>
      </c>
    </row>
    <row r="82" spans="1:22" s="48" customFormat="1" ht="9" customHeight="1">
      <c r="A82" s="43">
        <v>1</v>
      </c>
      <c r="B82" s="44">
        <v>2</v>
      </c>
      <c r="C82" s="44">
        <v>3</v>
      </c>
      <c r="D82" s="45">
        <v>4</v>
      </c>
      <c r="E82" s="45">
        <v>5</v>
      </c>
      <c r="F82" s="45">
        <v>6</v>
      </c>
      <c r="G82" s="45">
        <v>7</v>
      </c>
      <c r="H82" s="45">
        <v>8</v>
      </c>
      <c r="I82" s="45">
        <v>9</v>
      </c>
      <c r="J82" s="45">
        <v>10</v>
      </c>
      <c r="K82" s="45">
        <v>11</v>
      </c>
      <c r="L82" s="45">
        <v>12</v>
      </c>
      <c r="M82" s="44">
        <v>13</v>
      </c>
      <c r="N82" s="44">
        <v>14</v>
      </c>
      <c r="O82" s="45">
        <v>10</v>
      </c>
      <c r="P82" s="46">
        <v>15</v>
      </c>
      <c r="Q82" s="45">
        <v>16</v>
      </c>
      <c r="R82" s="45">
        <v>17</v>
      </c>
      <c r="S82" s="45">
        <v>18</v>
      </c>
      <c r="T82" s="45">
        <v>19</v>
      </c>
      <c r="U82" s="45">
        <v>20</v>
      </c>
      <c r="V82" s="47">
        <v>21</v>
      </c>
    </row>
    <row r="83" spans="1:22" s="1" customFormat="1" ht="11.25" customHeight="1">
      <c r="A83" s="16" t="s">
        <v>10</v>
      </c>
      <c r="B83" s="17"/>
      <c r="C83" s="18"/>
      <c r="D83" s="19"/>
      <c r="E83" s="19"/>
      <c r="F83" s="19"/>
      <c r="G83" s="19"/>
      <c r="H83" s="19"/>
      <c r="I83" s="20"/>
      <c r="J83" s="20"/>
      <c r="K83" s="21"/>
      <c r="L83" s="21"/>
      <c r="M83" s="21"/>
      <c r="N83" s="21"/>
      <c r="O83" s="21"/>
      <c r="P83" s="22"/>
      <c r="Q83" s="21"/>
      <c r="R83" s="21"/>
      <c r="S83" s="21"/>
      <c r="T83" s="21"/>
      <c r="U83" s="21"/>
      <c r="V83" s="23"/>
    </row>
    <row r="84" spans="1:22" s="1" customFormat="1" ht="22.5" customHeight="1">
      <c r="A84" s="24" t="s">
        <v>43</v>
      </c>
      <c r="B84" s="75"/>
      <c r="C84" s="51">
        <f>E84</f>
        <v>0.08359590220385675</v>
      </c>
      <c r="D84" s="25"/>
      <c r="E84" s="51">
        <f>F84+G84</f>
        <v>0.08359590220385675</v>
      </c>
      <c r="F84" s="51">
        <f aca="true" t="shared" si="4" ref="F84:G87">P84/5808</f>
        <v>0.08298898071625345</v>
      </c>
      <c r="G84" s="51">
        <f>Q84/5808</f>
        <v>0.0006069214876033059</v>
      </c>
      <c r="H84" s="25"/>
      <c r="I84" s="25"/>
      <c r="J84" s="25"/>
      <c r="K84" s="51">
        <f>N84</f>
        <v>485.525</v>
      </c>
      <c r="L84" s="25"/>
      <c r="M84" s="25"/>
      <c r="N84" s="51">
        <f>SUM(P84:S84)</f>
        <v>485.525</v>
      </c>
      <c r="O84" s="51">
        <v>482</v>
      </c>
      <c r="P84" s="26">
        <f>O84-S84</f>
        <v>482</v>
      </c>
      <c r="Q84" s="51">
        <f>T84*0.05</f>
        <v>3.5250000000000004</v>
      </c>
      <c r="R84" s="26"/>
      <c r="S84" s="51"/>
      <c r="T84" s="77">
        <f>V84</f>
        <v>70.5</v>
      </c>
      <c r="U84" s="63"/>
      <c r="V84" s="79">
        <v>70.5</v>
      </c>
    </row>
    <row r="85" spans="1:22" s="42" customFormat="1" ht="11.25" customHeight="1">
      <c r="A85" s="24" t="s">
        <v>44</v>
      </c>
      <c r="B85" s="76"/>
      <c r="C85" s="51">
        <f>E85</f>
        <v>0.021659779614325067</v>
      </c>
      <c r="D85" s="20"/>
      <c r="E85" s="51">
        <f>F85+G85</f>
        <v>0.021659779614325067</v>
      </c>
      <c r="F85" s="51">
        <f t="shared" si="4"/>
        <v>0.021659779614325067</v>
      </c>
      <c r="G85" s="51"/>
      <c r="H85" s="20"/>
      <c r="I85" s="20"/>
      <c r="J85" s="20"/>
      <c r="K85" s="26">
        <f>N85</f>
        <v>125.8</v>
      </c>
      <c r="L85" s="21"/>
      <c r="M85" s="21"/>
      <c r="N85" s="26">
        <f>SUM(P85:S85)</f>
        <v>125.8</v>
      </c>
      <c r="O85" s="52">
        <v>125.8</v>
      </c>
      <c r="P85" s="26">
        <f>O85-S85</f>
        <v>125.8</v>
      </c>
      <c r="Q85" s="51"/>
      <c r="R85" s="21"/>
      <c r="S85" s="54"/>
      <c r="T85" s="63"/>
      <c r="U85" s="63"/>
      <c r="V85" s="64"/>
    </row>
    <row r="86" spans="1:22" s="42" customFormat="1" ht="11.25" customHeight="1">
      <c r="A86" s="24" t="s">
        <v>45</v>
      </c>
      <c r="B86" s="75"/>
      <c r="C86" s="51">
        <f>E86</f>
        <v>0.004652548209366392</v>
      </c>
      <c r="D86" s="20"/>
      <c r="E86" s="51">
        <f>F86+G86</f>
        <v>0.004652548209366392</v>
      </c>
      <c r="F86" s="51">
        <f t="shared" si="4"/>
        <v>0.0044938016528925625</v>
      </c>
      <c r="G86" s="51">
        <f t="shared" si="4"/>
        <v>0.00015874655647382923</v>
      </c>
      <c r="H86" s="20"/>
      <c r="I86" s="20"/>
      <c r="J86" s="20"/>
      <c r="K86" s="51">
        <f>N86</f>
        <v>27.022000000000002</v>
      </c>
      <c r="L86" s="21"/>
      <c r="M86" s="21"/>
      <c r="N86" s="51">
        <f>SUM(P86:S86)</f>
        <v>27.022000000000002</v>
      </c>
      <c r="O86" s="51">
        <v>26.1</v>
      </c>
      <c r="P86" s="26">
        <f>O86-S86</f>
        <v>26.1</v>
      </c>
      <c r="Q86" s="51">
        <f>T86*0.05</f>
        <v>0.9220000000000002</v>
      </c>
      <c r="R86" s="21"/>
      <c r="S86" s="54"/>
      <c r="T86" s="63">
        <f>V86</f>
        <v>18.44</v>
      </c>
      <c r="U86" s="63"/>
      <c r="V86" s="64">
        <v>18.44</v>
      </c>
    </row>
    <row r="87" spans="1:22" s="42" customFormat="1" ht="22.5" customHeight="1">
      <c r="A87" s="24" t="s">
        <v>46</v>
      </c>
      <c r="B87" s="75"/>
      <c r="C87" s="51">
        <f>E87</f>
        <v>0.0036019283746556476</v>
      </c>
      <c r="D87" s="20"/>
      <c r="E87" s="51">
        <f>F87+G87</f>
        <v>0.0036019283746556476</v>
      </c>
      <c r="F87" s="51">
        <f t="shared" si="4"/>
        <v>0.0036019283746556476</v>
      </c>
      <c r="G87" s="51"/>
      <c r="H87" s="20"/>
      <c r="I87" s="20"/>
      <c r="J87" s="20"/>
      <c r="K87" s="25">
        <f>N87</f>
        <v>20.92</v>
      </c>
      <c r="L87" s="21"/>
      <c r="M87" s="21"/>
      <c r="N87" s="25">
        <f>SUM(P87:S87)</f>
        <v>20.92</v>
      </c>
      <c r="O87" s="51">
        <v>20.92</v>
      </c>
      <c r="P87" s="25">
        <f>O87-S87</f>
        <v>20.92</v>
      </c>
      <c r="Q87" s="51"/>
      <c r="R87" s="21"/>
      <c r="S87" s="54"/>
      <c r="T87" s="63"/>
      <c r="U87" s="63"/>
      <c r="V87" s="65"/>
    </row>
    <row r="88" spans="1:22" s="33" customFormat="1" ht="12">
      <c r="A88" s="29" t="s">
        <v>29</v>
      </c>
      <c r="B88" s="30"/>
      <c r="C88" s="69">
        <f>SUM(C84:C87)</f>
        <v>0.11351015840220385</v>
      </c>
      <c r="D88" s="31"/>
      <c r="E88" s="69">
        <f>SUM(E84:E87)</f>
        <v>0.11351015840220385</v>
      </c>
      <c r="F88" s="69">
        <f>SUM(F84:F87)</f>
        <v>0.11274449035812673</v>
      </c>
      <c r="G88" s="69">
        <f>SUM(G84:G87)</f>
        <v>0.0007656680440771351</v>
      </c>
      <c r="H88" s="31"/>
      <c r="I88" s="31"/>
      <c r="J88" s="31"/>
      <c r="K88" s="105">
        <f>SUM(K84:K87)</f>
        <v>659.2669999999999</v>
      </c>
      <c r="L88" s="32"/>
      <c r="M88" s="32"/>
      <c r="N88" s="62">
        <f>SUM(N84:N87)</f>
        <v>659.2669999999999</v>
      </c>
      <c r="O88" s="62">
        <f>SUM(O84:O87)</f>
        <v>654.8199999999999</v>
      </c>
      <c r="P88" s="62">
        <f>SUM(P83:P87)</f>
        <v>654.8199999999999</v>
      </c>
      <c r="Q88" s="56">
        <f>SUM(Q84:Q87)</f>
        <v>4.447000000000001</v>
      </c>
      <c r="R88" s="32"/>
      <c r="S88" s="56"/>
      <c r="T88" s="34">
        <f>SUM(T84:T87)</f>
        <v>88.94</v>
      </c>
      <c r="U88" s="34"/>
      <c r="V88" s="66">
        <f>SUM(V84:V87)</f>
        <v>88.94</v>
      </c>
    </row>
    <row r="89" spans="1:22" s="1" customFormat="1" ht="11.25" customHeight="1">
      <c r="A89" s="16" t="s">
        <v>11</v>
      </c>
      <c r="B89" s="27"/>
      <c r="C89" s="60"/>
      <c r="D89" s="19"/>
      <c r="E89" s="19"/>
      <c r="F89" s="28"/>
      <c r="G89" s="51"/>
      <c r="H89" s="19"/>
      <c r="I89" s="20"/>
      <c r="J89" s="20"/>
      <c r="K89" s="54"/>
      <c r="L89" s="21"/>
      <c r="M89" s="21"/>
      <c r="N89" s="51"/>
      <c r="O89" s="53"/>
      <c r="P89" s="109"/>
      <c r="Q89" s="54"/>
      <c r="R89" s="21"/>
      <c r="S89" s="21"/>
      <c r="T89" s="67"/>
      <c r="U89" s="67"/>
      <c r="V89" s="64"/>
    </row>
    <row r="90" spans="1:22" s="1" customFormat="1" ht="11.25" customHeight="1">
      <c r="A90" s="24" t="s">
        <v>47</v>
      </c>
      <c r="B90" s="27"/>
      <c r="C90" s="51">
        <f>E90</f>
        <v>0.006830750688705234</v>
      </c>
      <c r="D90" s="19"/>
      <c r="E90" s="51">
        <f>F90+G90</f>
        <v>0.006830750688705234</v>
      </c>
      <c r="F90" s="51">
        <f>P90/5808</f>
        <v>0.006559917355371901</v>
      </c>
      <c r="G90" s="51">
        <f>Q90/5808</f>
        <v>0.0002708333333333334</v>
      </c>
      <c r="H90" s="19"/>
      <c r="I90" s="20"/>
      <c r="J90" s="20"/>
      <c r="K90" s="54">
        <f>N90</f>
        <v>39.673</v>
      </c>
      <c r="L90" s="21"/>
      <c r="M90" s="21"/>
      <c r="N90" s="51">
        <f>SUM(P90:S90)</f>
        <v>39.673</v>
      </c>
      <c r="O90" s="54">
        <v>38.1</v>
      </c>
      <c r="P90" s="106">
        <f>O90-S90</f>
        <v>38.1</v>
      </c>
      <c r="Q90" s="51">
        <f>T90*0.05</f>
        <v>1.5730000000000002</v>
      </c>
      <c r="R90" s="21"/>
      <c r="S90" s="58"/>
      <c r="T90" s="63">
        <f>V90</f>
        <v>31.46</v>
      </c>
      <c r="U90" s="63"/>
      <c r="V90" s="64">
        <v>31.46</v>
      </c>
    </row>
    <row r="91" spans="1:22" s="1" customFormat="1" ht="11.25" customHeight="1">
      <c r="A91" s="24" t="s">
        <v>48</v>
      </c>
      <c r="B91" s="27"/>
      <c r="C91" s="51">
        <f>E91</f>
        <v>0.008481577134986224</v>
      </c>
      <c r="D91" s="19"/>
      <c r="E91" s="51">
        <f>F91+G91</f>
        <v>0.008481577134986224</v>
      </c>
      <c r="F91" s="51">
        <f>P91/5808</f>
        <v>0.008075068870523415</v>
      </c>
      <c r="G91" s="51">
        <f>Q91/5808</f>
        <v>0.00040650826446281</v>
      </c>
      <c r="H91" s="19"/>
      <c r="I91" s="20"/>
      <c r="J91" s="20"/>
      <c r="K91" s="54">
        <f>N91</f>
        <v>49.260999999999996</v>
      </c>
      <c r="L91" s="21"/>
      <c r="M91" s="21"/>
      <c r="N91" s="51">
        <f>SUM(P91:S91)</f>
        <v>49.260999999999996</v>
      </c>
      <c r="O91" s="73">
        <v>46.9</v>
      </c>
      <c r="P91" s="106">
        <f>O91-S91</f>
        <v>46.9</v>
      </c>
      <c r="Q91" s="51">
        <f>T91*0.05</f>
        <v>2.361</v>
      </c>
      <c r="R91" s="21"/>
      <c r="S91" s="58"/>
      <c r="T91" s="63">
        <f>V91</f>
        <v>47.22</v>
      </c>
      <c r="U91" s="63"/>
      <c r="V91" s="65">
        <v>47.22</v>
      </c>
    </row>
    <row r="92" spans="1:22" s="1" customFormat="1" ht="22.5" customHeight="1">
      <c r="A92" s="24" t="s">
        <v>49</v>
      </c>
      <c r="B92" s="27"/>
      <c r="C92" s="51">
        <f>E92</f>
        <v>0.012207300275482095</v>
      </c>
      <c r="D92" s="19"/>
      <c r="E92" s="51">
        <f>F92+G92</f>
        <v>0.012207300275482095</v>
      </c>
      <c r="F92" s="51">
        <f>P92/5808</f>
        <v>0.012207300275482095</v>
      </c>
      <c r="G92" s="51"/>
      <c r="H92" s="19"/>
      <c r="I92" s="20"/>
      <c r="J92" s="20"/>
      <c r="K92" s="25">
        <f>N92</f>
        <v>70.9</v>
      </c>
      <c r="L92" s="21"/>
      <c r="M92" s="21"/>
      <c r="N92" s="25">
        <f>SUM(P92:S92)</f>
        <v>70.9</v>
      </c>
      <c r="O92" s="54">
        <v>70.9</v>
      </c>
      <c r="P92" s="26">
        <f>O92-S92</f>
        <v>70.9</v>
      </c>
      <c r="Q92" s="51"/>
      <c r="R92" s="21"/>
      <c r="S92" s="58"/>
      <c r="T92" s="63"/>
      <c r="U92" s="63"/>
      <c r="V92" s="65"/>
    </row>
    <row r="93" spans="1:22" s="1" customFormat="1" ht="11.25" customHeight="1">
      <c r="A93" s="24" t="s">
        <v>50</v>
      </c>
      <c r="B93" s="27"/>
      <c r="C93" s="51">
        <f>E93</f>
        <v>0.08404287190082645</v>
      </c>
      <c r="D93" s="19"/>
      <c r="E93" s="51">
        <f>F93+G93</f>
        <v>0.08404287190082645</v>
      </c>
      <c r="F93" s="51">
        <f>P93/5808</f>
        <v>0.08350550964187328</v>
      </c>
      <c r="G93" s="51">
        <f>Q93/5808</f>
        <v>0.0005373622589531681</v>
      </c>
      <c r="H93" s="19"/>
      <c r="I93" s="20"/>
      <c r="J93" s="20"/>
      <c r="K93" s="54">
        <f>N93</f>
        <v>488.121</v>
      </c>
      <c r="L93" s="21"/>
      <c r="M93" s="21"/>
      <c r="N93" s="51">
        <f>SUM(P93:S93)</f>
        <v>488.121</v>
      </c>
      <c r="O93" s="54">
        <v>485</v>
      </c>
      <c r="P93" s="106">
        <f>O93-S93</f>
        <v>485</v>
      </c>
      <c r="Q93" s="51">
        <f>T93*0.05</f>
        <v>3.1210000000000004</v>
      </c>
      <c r="R93" s="21"/>
      <c r="S93" s="58"/>
      <c r="T93" s="63">
        <f>V93</f>
        <v>62.42</v>
      </c>
      <c r="U93" s="63"/>
      <c r="V93" s="65">
        <v>62.42</v>
      </c>
    </row>
    <row r="94" spans="1:22" s="33" customFormat="1" ht="12">
      <c r="A94" s="29" t="s">
        <v>30</v>
      </c>
      <c r="B94" s="30"/>
      <c r="C94" s="69">
        <f>SUM(C90:C93)</f>
        <v>0.11156250000000001</v>
      </c>
      <c r="D94" s="69"/>
      <c r="E94" s="69">
        <f>SUM(E90:E93)</f>
        <v>0.11156250000000001</v>
      </c>
      <c r="F94" s="69">
        <f>SUM(F90:F93)</f>
        <v>0.11034779614325069</v>
      </c>
      <c r="G94" s="69">
        <f>SUM(G90:G93)</f>
        <v>0.0012147038567493114</v>
      </c>
      <c r="H94" s="31"/>
      <c r="I94" s="31"/>
      <c r="J94" s="31"/>
      <c r="K94" s="34">
        <f>SUM(K90:K93)</f>
        <v>647.9549999999999</v>
      </c>
      <c r="L94" s="32"/>
      <c r="M94" s="32"/>
      <c r="N94" s="34">
        <f>SUM(N90:N93)</f>
        <v>647.9549999999999</v>
      </c>
      <c r="O94" s="56">
        <f>SUM(O90:O93)</f>
        <v>640.9</v>
      </c>
      <c r="P94" s="107">
        <f>SUM(P90:P93)</f>
        <v>640.9</v>
      </c>
      <c r="Q94" s="56">
        <f>SUM(Q90:Q93)</f>
        <v>7.055000000000001</v>
      </c>
      <c r="R94" s="32"/>
      <c r="S94" s="62"/>
      <c r="T94" s="32">
        <f>SUM(T90:T93)</f>
        <v>141.10000000000002</v>
      </c>
      <c r="U94" s="32"/>
      <c r="V94" s="108">
        <f>SUM(V90:V93)</f>
        <v>141.10000000000002</v>
      </c>
    </row>
    <row r="95" spans="1:22" s="104" customFormat="1" ht="11.25" customHeight="1">
      <c r="A95" s="24" t="s">
        <v>26</v>
      </c>
      <c r="B95" s="27"/>
      <c r="C95" s="51">
        <f>E95</f>
        <v>0.5620524276859504</v>
      </c>
      <c r="D95" s="27"/>
      <c r="E95" s="51">
        <f>F95+G95</f>
        <v>0.5620524276859504</v>
      </c>
      <c r="F95" s="51">
        <f>P95/5808</f>
        <v>0.41205165289256196</v>
      </c>
      <c r="G95" s="51">
        <f>Q95/5808</f>
        <v>0.15000077479338844</v>
      </c>
      <c r="H95" s="27"/>
      <c r="I95" s="27"/>
      <c r="J95" s="27"/>
      <c r="K95" s="98">
        <f>N95</f>
        <v>3264.4004999999997</v>
      </c>
      <c r="L95" s="99"/>
      <c r="M95" s="99"/>
      <c r="N95" s="98">
        <f>SUM(P95:S95)</f>
        <v>3264.4004999999997</v>
      </c>
      <c r="O95" s="98">
        <v>2393.196</v>
      </c>
      <c r="P95" s="58">
        <f>O95-S95</f>
        <v>2393.196</v>
      </c>
      <c r="Q95" s="51">
        <f>T95*0.05</f>
        <v>871.2045</v>
      </c>
      <c r="R95" s="99"/>
      <c r="S95" s="98"/>
      <c r="T95" s="101">
        <f>V95</f>
        <v>17424.09</v>
      </c>
      <c r="U95" s="102"/>
      <c r="V95" s="103">
        <v>17424.09</v>
      </c>
    </row>
    <row r="96" spans="1:22" s="33" customFormat="1" ht="12">
      <c r="A96" s="29" t="s">
        <v>6</v>
      </c>
      <c r="B96" s="30"/>
      <c r="C96" s="70">
        <f>E96</f>
        <v>0.7871250860881542</v>
      </c>
      <c r="D96" s="31"/>
      <c r="E96" s="62">
        <f>E94+E95+E88</f>
        <v>0.7871250860881542</v>
      </c>
      <c r="F96" s="62">
        <f>F94+F95+F88</f>
        <v>0.6351439393939393</v>
      </c>
      <c r="G96" s="62">
        <f>G94+G95+G88</f>
        <v>0.1519811466942149</v>
      </c>
      <c r="H96" s="31"/>
      <c r="I96" s="31"/>
      <c r="J96" s="31"/>
      <c r="K96" s="56">
        <f>K94+K95+K88</f>
        <v>4571.6224999999995</v>
      </c>
      <c r="L96" s="32"/>
      <c r="M96" s="32"/>
      <c r="N96" s="56">
        <f>N94+N95+N88</f>
        <v>4571.6224999999995</v>
      </c>
      <c r="O96" s="56">
        <f>O94+O95+O88</f>
        <v>3688.916</v>
      </c>
      <c r="P96" s="56">
        <f>P94+P95+P88</f>
        <v>3688.916</v>
      </c>
      <c r="Q96" s="105">
        <f>Q94+Q95+Q88</f>
        <v>882.7065</v>
      </c>
      <c r="R96" s="32"/>
      <c r="S96" s="56"/>
      <c r="T96" s="34">
        <f>T94+T95+T88</f>
        <v>17654.129999999997</v>
      </c>
      <c r="U96" s="34"/>
      <c r="V96" s="66">
        <f>V88+V94+V95</f>
        <v>17654.13</v>
      </c>
    </row>
    <row r="97" spans="1:22" s="1" customFormat="1" ht="11.25" customHeight="1">
      <c r="A97" s="24" t="s">
        <v>19</v>
      </c>
      <c r="B97" s="27"/>
      <c r="C97" s="51">
        <f>E97</f>
        <v>0.010787190082644628</v>
      </c>
      <c r="D97" s="19"/>
      <c r="E97" s="51">
        <f>F97+G97</f>
        <v>0.010787190082644628</v>
      </c>
      <c r="F97" s="51">
        <f>P97/5808</f>
        <v>0.0026757920110192838</v>
      </c>
      <c r="G97" s="51">
        <f>Q97/5808</f>
        <v>0.008111398071625343</v>
      </c>
      <c r="H97" s="19"/>
      <c r="I97" s="20"/>
      <c r="J97" s="20"/>
      <c r="K97" s="55">
        <f>N97</f>
        <v>62.652</v>
      </c>
      <c r="L97" s="26"/>
      <c r="M97" s="26"/>
      <c r="N97" s="61">
        <f>SUM(P97:S97)</f>
        <v>62.652</v>
      </c>
      <c r="O97" s="55">
        <v>15.541</v>
      </c>
      <c r="P97" s="55">
        <f>O97-S97</f>
        <v>15.541</v>
      </c>
      <c r="Q97" s="61">
        <f>T97*0.05</f>
        <v>47.111</v>
      </c>
      <c r="R97" s="26"/>
      <c r="S97" s="51"/>
      <c r="T97" s="63">
        <f>V97</f>
        <v>942.2199999999999</v>
      </c>
      <c r="U97" s="77"/>
      <c r="V97" s="65">
        <f>713.3+228.92</f>
        <v>942.2199999999999</v>
      </c>
    </row>
    <row r="98" spans="1:22" s="40" customFormat="1" ht="13.5" thickBot="1">
      <c r="A98" s="35" t="s">
        <v>12</v>
      </c>
      <c r="B98" s="36"/>
      <c r="C98" s="71">
        <f>C96+C97</f>
        <v>0.7979122761707989</v>
      </c>
      <c r="D98" s="38"/>
      <c r="E98" s="71">
        <f>E96+E97</f>
        <v>0.7979122761707989</v>
      </c>
      <c r="F98" s="71">
        <f>F96+F97</f>
        <v>0.6378197314049586</v>
      </c>
      <c r="G98" s="71">
        <f>G96+G97</f>
        <v>0.16009254476584023</v>
      </c>
      <c r="H98" s="38"/>
      <c r="I98" s="38"/>
      <c r="J98" s="38"/>
      <c r="K98" s="57">
        <f>K96+K97</f>
        <v>4634.2744999999995</v>
      </c>
      <c r="L98" s="39"/>
      <c r="M98" s="39"/>
      <c r="N98" s="57">
        <f>N96+N97</f>
        <v>4634.2744999999995</v>
      </c>
      <c r="O98" s="57">
        <f>O96+O97</f>
        <v>3704.4570000000003</v>
      </c>
      <c r="P98" s="57">
        <f>P96+P97</f>
        <v>3704.4570000000003</v>
      </c>
      <c r="Q98" s="57">
        <f>Q96+Q97</f>
        <v>929.8175</v>
      </c>
      <c r="R98" s="39"/>
      <c r="S98" s="89"/>
      <c r="T98" s="37">
        <f>T96+T97</f>
        <v>18596.35</v>
      </c>
      <c r="U98" s="37"/>
      <c r="V98" s="68">
        <f>V96+V97</f>
        <v>18596.350000000002</v>
      </c>
    </row>
  </sheetData>
  <mergeCells count="40">
    <mergeCell ref="A10:V10"/>
    <mergeCell ref="A14:A16"/>
    <mergeCell ref="B14:B16"/>
    <mergeCell ref="C14:J14"/>
    <mergeCell ref="K14:V14"/>
    <mergeCell ref="C15:C16"/>
    <mergeCell ref="D15:D16"/>
    <mergeCell ref="E15:E16"/>
    <mergeCell ref="F15:H15"/>
    <mergeCell ref="I15:J15"/>
    <mergeCell ref="K15:K16"/>
    <mergeCell ref="L15:M15"/>
    <mergeCell ref="T15:V15"/>
    <mergeCell ref="N15:S15"/>
    <mergeCell ref="A40:A42"/>
    <mergeCell ref="B40:B42"/>
    <mergeCell ref="C40:J40"/>
    <mergeCell ref="K40:V40"/>
    <mergeCell ref="C41:C42"/>
    <mergeCell ref="D41:D42"/>
    <mergeCell ref="E41:E42"/>
    <mergeCell ref="F41:H41"/>
    <mergeCell ref="I41:J41"/>
    <mergeCell ref="K41:K42"/>
    <mergeCell ref="A79:A81"/>
    <mergeCell ref="B79:B81"/>
    <mergeCell ref="C79:J79"/>
    <mergeCell ref="K79:V79"/>
    <mergeCell ref="C80:C81"/>
    <mergeCell ref="D80:D81"/>
    <mergeCell ref="E80:E81"/>
    <mergeCell ref="N41:S41"/>
    <mergeCell ref="O80:S80"/>
    <mergeCell ref="T80:V80"/>
    <mergeCell ref="F80:H80"/>
    <mergeCell ref="I80:J80"/>
    <mergeCell ref="K80:K81"/>
    <mergeCell ref="L80:M80"/>
    <mergeCell ref="L41:M41"/>
    <mergeCell ref="T41:V41"/>
  </mergeCells>
  <printOptions horizontalCentered="1"/>
  <pageMargins left="0" right="0" top="0.984251968503937" bottom="0" header="0" footer="0"/>
  <pageSetup blackAndWhite="1" orientation="landscape" paperSize="9" scale="90" r:id="rId1"/>
  <ignoredErrors>
    <ignoredError sqref="T23 V32 G26 T24:T25 K33 P27:P28 K23 R29 K24 N27:N28 K27:K28 U88:U89 L23:M23 Q29 H23:J23 C25:C26 Q93 K32 T32 T30 F32 D25:D26 K30 G21 N33 R23 F24 Q33 E27:E28 G32 E19:E22 D27:D28 E32 T28 C27:C28 G30 C24 C20:C22 F30 O29 R88:S89 T26 P25:P26 E30 G33 C32 P24 E33 N32 D30 E25:E26 C30 O31 C31 F27:F28 D31 V88:V89 K45:K48 F20:F22 Q50 T33 G24:G25 D20:D22 P20:P22 P19 O56 C19 P97:P98 G19 D19 D24 K19:K22 C49:E49 C59:G59 O33 F33 E24 K50 C33 P30 K59 P45:P48 T19 E23:F23 K25:K26 D32 P59 V51:V54 C23:D23 N19:N22 F19 V31 V23:V30 F25:F26 G23 N23:N26 O23 V97:V98 K97:N98 K88:N89 C88:G89 C97:G98 Q32 Q97:Q98 T21 C90:F93 G93 G28 G90:G91 V33 T51:T54 G54 R97:U98 N45:N48 N50 P50 N59 P51:P54 N51:N54 K51:K54 C45:E48 N58 V56 P58 K58 C51:E54 O59 O50 O45:O48 O58 O51:O54 T50 T45:T48 V50 V45:V48 V58 Q58 Q59 V49 T49 O49 P49 N49 K49 C58:E58 Q56 Q45:Q48 C50:E50 Q51:Q54 F49:G49 F50:G50 F56:G56 F58:G58 G47 F45:F48 G45 F51:F54 G51:G52 C84:F87 G86 T90:T93 K84:N87 K90:N93 P84:P87 P90:P93 R84:S87 R90:S93 U87 T88:T89 T84:T87 Q88:Q89 Q95 Q86 G84 Q84 Q90:Q91 P89" unlockedFormula="1"/>
    <ignoredError sqref="P32 P31:Q31 P33 C29 E29:G29 P29 T31 E31:G31 N29:N31 D29 K55 V59 T56 P56 T29 K31 K29 C57:E57 K94:N96 C94:G96 T94:T96 V96 P94:P96 T57 F55:G55 V94 T55 N55 P55 P57 N57 C56:E56 O57 V57 K57 K56 V55 T59 O55 Q55 N56 T58 Q57 C55:E55 F57:G57 R94:S96 U94:U96 Q96 Q94 P23:Q23 P88 Q49" formula="1" unlockedFormula="1"/>
    <ignoredError sqref="Q49" formulaRange="1" unlockedFormula="1"/>
    <ignoredError sqref="H94:J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Tinikova</dc:creator>
  <cp:keywords/>
  <dc:description/>
  <cp:lastModifiedBy>User</cp:lastModifiedBy>
  <cp:lastPrinted>2010-10-27T04:40:05Z</cp:lastPrinted>
  <dcterms:created xsi:type="dcterms:W3CDTF">2003-05-14T09:18:18Z</dcterms:created>
  <dcterms:modified xsi:type="dcterms:W3CDTF">2010-12-02T03:41:54Z</dcterms:modified>
  <cp:category/>
  <cp:version/>
  <cp:contentType/>
  <cp:contentStatus/>
</cp:coreProperties>
</file>