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580" windowWidth="15480" windowHeight="6075" tabRatio="962" activeTab="0"/>
  </bookViews>
  <sheets>
    <sheet name="Прил. 1-1 цен. от.15" sheetId="1" r:id="rId1"/>
    <sheet name="7-2" sheetId="2" r:id="rId2"/>
    <sheet name="норм отопл  (2-1) " sheetId="3" r:id="rId3"/>
    <sheet name="отопление плата . (2-2)" sheetId="4" r:id="rId4"/>
    <sheet name="норм. ГВС  (3-1)" sheetId="5" r:id="rId5"/>
    <sheet name="ГВС  плата  базов. (3-2)" sheetId="6" r:id="rId6"/>
    <sheet name="ГВС  1 пол.плата(3-3)" sheetId="7" r:id="rId7"/>
    <sheet name="ГВС  2 пол.плата (3-4)" sheetId="8" r:id="rId8"/>
    <sheet name="норм. ХВС для ЦО (4-1) " sheetId="9" r:id="rId9"/>
    <sheet name=" ХВС плата для ЦО (4-2)" sheetId="10" r:id="rId10"/>
    <sheet name="норм водоотв  ЦО (5-1)" sheetId="11" r:id="rId11"/>
    <sheet name=" водоотв.  плата ЦО (5-2 )" sheetId="12" r:id="rId12"/>
    <sheet name="пример  к 7-1" sheetId="13" r:id="rId13"/>
    <sheet name="Эл.7-1 1 пол." sheetId="14" r:id="rId14"/>
    <sheet name="Эл.7-1 2 пол." sheetId="15" r:id="rId15"/>
    <sheet name="Газ (8) " sheetId="16" r:id="rId16"/>
  </sheets>
  <definedNames>
    <definedName name="_xlnm.Print_Titles" localSheetId="0">('Прил. 1-1 цен. от.15'!$A:$B,'Прил. 1-1 цен. от.15'!$5:$9)</definedName>
    <definedName name="_xlnm.Print_Area" localSheetId="9">' ХВС плата для ЦО (4-2)'!$A$1:$O$121</definedName>
    <definedName name="_xlnm.Print_Area" localSheetId="2">'норм отопл  (2-1) '!$A$1:$N$104</definedName>
    <definedName name="_xlnm.Print_Area" localSheetId="8">'норм. ХВС для ЦО (4-1) '!$A$1:$O$136</definedName>
    <definedName name="_xlnm.Print_Area" localSheetId="0">'Прил. 1-1 цен. от.15'!$A$1:$AB$130</definedName>
  </definedNames>
  <calcPr fullCalcOnLoad="1"/>
</workbook>
</file>

<file path=xl/sharedStrings.xml><?xml version="1.0" encoding="utf-8"?>
<sst xmlns="http://schemas.openxmlformats.org/spreadsheetml/2006/main" count="4318" uniqueCount="455">
  <si>
    <t>Форма  1-1</t>
  </si>
  <si>
    <t>№ 
п/п</t>
  </si>
  <si>
    <t xml:space="preserve">Наименование </t>
  </si>
  <si>
    <t>Единицы измерения</t>
  </si>
  <si>
    <t>Базовый период (декабрь предыдущего календарного  года )</t>
  </si>
  <si>
    <t>Текущий календарный год</t>
  </si>
  <si>
    <t xml:space="preserve">Коэффициент роста цен </t>
  </si>
  <si>
    <t>Сумма компенсации части платы граждан за коммунальные услуги (далее – компенсация)  исполнителям коммунальных услуг в  текущем  году (гр.24 - гр.25)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</si>
  <si>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базовом периоде</t>
  </si>
  <si>
    <t>Плата за коммунальные услуги граждан, проживающих в многоквартирных домах (жилых домах), в базовом периоде</t>
  </si>
  <si>
    <t>Уровень оплаты  коммунальных услуг (гр.5 / гр.4 * 100)</t>
  </si>
  <si>
    <t>Средневзвешенный норматив потребления услуг</t>
  </si>
  <si>
    <t xml:space="preserve">Площадь жилого помещения, используемая при расчетах платежей  за отопление (централизованное или печное)   в базовом периоде </t>
  </si>
  <si>
    <t xml:space="preserve">Численность граждан, зарегистрированных в жилом помещении, используемая при расчетах платежей за коммунальные услуги в базовом периоде </t>
  </si>
  <si>
    <t>Объем потребления коммунальных услуг, определенный  по показаниям приборов учета или исходя из нормативов потребления коммунальных услуг</t>
  </si>
  <si>
    <t>Плата за коммунальные услуги граждан, проживающих 
в многоквартирных домах (жилых домах )</t>
  </si>
  <si>
    <t>Цены (тарифы) ресурсоснабжающих организаций для группы потребителей «население», установленные в порядке, определенном законодательством Российской Федерации  в текущем периоде</t>
  </si>
  <si>
    <t>Плата за коммунальные услуги граждан, проживающих в многоквартирных домах (жилых домах) учетом предельного (максимального)  индекса в текущем периоде</t>
  </si>
  <si>
    <t>Уровень оплаты  коммунальных услуг (гр.16 / гр.15 * 100)</t>
  </si>
  <si>
    <t>Среднеэксплуатируемая общая площадь жилых помещений, на которую рассчитывается объем расходов граждан на оплату коммунальных слуг</t>
  </si>
  <si>
    <t>Средняя численность проживающих в обслуживаемом жилищном фонде</t>
  </si>
  <si>
    <t xml:space="preserve">Плата за коммунальные услуги граждан, проживающих 
в многоквартирных домах (жилых домах </t>
  </si>
  <si>
    <t>ед.изм.</t>
  </si>
  <si>
    <t>норматив</t>
  </si>
  <si>
    <r>
      <t>объем  - отопл.</t>
    </r>
    <r>
      <rPr>
        <i/>
        <sz val="9"/>
        <rFont val="Times New Roman Cyr"/>
        <family val="1"/>
      </rPr>
      <t>(гр.8*гр.9*6 мес.)</t>
    </r>
    <r>
      <rPr>
        <sz val="9"/>
        <rFont val="Times New Roman Cyr"/>
        <family val="1"/>
      </rPr>
      <t xml:space="preserve">, ком.усл. </t>
    </r>
    <r>
      <rPr>
        <i/>
        <sz val="9"/>
        <rFont val="Times New Roman Cyr"/>
        <family val="1"/>
      </rPr>
      <t>(гр.8*гр.10*6 мес./1000)</t>
    </r>
  </si>
  <si>
    <r>
      <t>рассчитанная по ценам (тарифам), установленным ресурсоснабжающей организации , 
   (</t>
    </r>
    <r>
      <rPr>
        <i/>
        <sz val="9"/>
        <rFont val="Times New Roman Cyr"/>
        <family val="1"/>
      </rPr>
      <t>гр.4*гр.12)</t>
    </r>
  </si>
  <si>
    <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 Cyr"/>
        <family val="1"/>
      </rPr>
      <t>гр.5*гр.12)</t>
    </r>
  </si>
  <si>
    <r>
      <t>объем  -  отопл.</t>
    </r>
    <r>
      <rPr>
        <i/>
        <sz val="9"/>
        <rFont val="Times New Roman Cyr"/>
        <family val="1"/>
      </rPr>
      <t>(гр.19*гр.20*6 мес.)</t>
    </r>
    <r>
      <rPr>
        <sz val="9"/>
        <rFont val="Times New Roman Cyr"/>
        <family val="1"/>
      </rPr>
      <t xml:space="preserve">, ком.усл. </t>
    </r>
    <r>
      <rPr>
        <i/>
        <sz val="9"/>
        <rFont val="Times New Roman Cyr"/>
        <family val="1"/>
      </rPr>
      <t>(гр.19*гр.21*6 мес./1000)</t>
    </r>
  </si>
  <si>
    <r>
      <t>рассчитанная по ценам (тарифам) , установленным ресурсоснабжающей организации (</t>
    </r>
    <r>
      <rPr>
        <i/>
        <sz val="9"/>
        <rFont val="Times New Roman Cyr"/>
        <family val="1"/>
      </rPr>
      <t>гр.15*гр.23)</t>
    </r>
  </si>
  <si>
    <r>
      <t>с учетом  предельного (максимального)  индекса по расчетному размеру цены (тарифа) (</t>
    </r>
    <r>
      <rPr>
        <i/>
        <sz val="9"/>
        <rFont val="Times New Roman Cyr"/>
        <family val="1"/>
      </rPr>
      <t>гр.16*гр.23)</t>
    </r>
  </si>
  <si>
    <r>
      <t>с учетом утвержденной цены (тарифа), текущий год/базовый период</t>
    </r>
    <r>
      <rPr>
        <i/>
        <sz val="9"/>
        <rFont val="Times New Roman Cyr"/>
        <family val="1"/>
      </rPr>
      <t xml:space="preserve"> (гр.24/гр.13)</t>
    </r>
  </si>
  <si>
    <r>
      <t>с учетом  предельного индекса  по расчетному размеру цены (тарифа), текущий год/базовый период (</t>
    </r>
    <r>
      <rPr>
        <i/>
        <sz val="9"/>
        <rFont val="Times New Roman Cyr"/>
        <family val="1"/>
      </rPr>
      <t>гр.25/гр.14)</t>
    </r>
  </si>
  <si>
    <t>руб.</t>
  </si>
  <si>
    <t>%</t>
  </si>
  <si>
    <t>тыс.кв.м</t>
  </si>
  <si>
    <t>чел.</t>
  </si>
  <si>
    <t>тыс.руб.</t>
  </si>
  <si>
    <t>Жилые дома с центральным отоплением</t>
  </si>
  <si>
    <t>за 1 полугодие (отопительный период)</t>
  </si>
  <si>
    <t>Центральное отопление</t>
  </si>
  <si>
    <t>Гкал</t>
  </si>
  <si>
    <t>Гкал/м2/мес.</t>
  </si>
  <si>
    <t>тыс.Гкал</t>
  </si>
  <si>
    <t>1.1.</t>
  </si>
  <si>
    <t>при наличии общедомовых приборов учета</t>
  </si>
  <si>
    <t>х</t>
  </si>
  <si>
    <r>
      <t>тыс.м</t>
    </r>
    <r>
      <rPr>
        <vertAlign val="superscript"/>
        <sz val="9"/>
        <rFont val="Times New Roman Cyr"/>
        <family val="1"/>
      </rPr>
      <t>3</t>
    </r>
  </si>
  <si>
    <t>1.2.</t>
  </si>
  <si>
    <t>при отсутствии общедомовых приборов учета</t>
  </si>
  <si>
    <t>Горячее водоснабжение</t>
  </si>
  <si>
    <t>2.1.</t>
  </si>
  <si>
    <t xml:space="preserve">при наличии  общедомовых приборов учета (компонент на тепловую энергию) </t>
  </si>
  <si>
    <t>2.2.</t>
  </si>
  <si>
    <t xml:space="preserve">при наличии  общедомовых приборов учета (компонент на  теплоноситель) </t>
  </si>
  <si>
    <t xml:space="preserve">м3 </t>
  </si>
  <si>
    <t>тыс.м3</t>
  </si>
  <si>
    <t>тыс.м4</t>
  </si>
  <si>
    <t>2.3.</t>
  </si>
  <si>
    <t>при отсутствии общедомовых приборов учета (компонент на тепловую энергию)</t>
  </si>
  <si>
    <t>Гкал/чел/мес.</t>
  </si>
  <si>
    <t>2.4.</t>
  </si>
  <si>
    <t xml:space="preserve">при отсутствии  общедомовых приборов учета (компонент на теплоноситель) </t>
  </si>
  <si>
    <r>
      <t>м</t>
    </r>
    <r>
      <rPr>
        <vertAlign val="superscript"/>
        <sz val="9"/>
        <rFont val="Times New Roman Cyr"/>
        <family val="1"/>
      </rPr>
      <t xml:space="preserve">3 </t>
    </r>
  </si>
  <si>
    <t>м3/чел./мес.</t>
  </si>
  <si>
    <r>
      <t>тыс.м</t>
    </r>
    <r>
      <rPr>
        <vertAlign val="superscript"/>
        <sz val="9"/>
        <rFont val="Times New Roman Cyr"/>
        <family val="1"/>
      </rPr>
      <t>4</t>
    </r>
  </si>
  <si>
    <t>Холодное водоснабжение</t>
  </si>
  <si>
    <t>3.1.</t>
  </si>
  <si>
    <t>при наличии  общедомовых приборов учета</t>
  </si>
  <si>
    <r>
      <t>м</t>
    </r>
    <r>
      <rPr>
        <vertAlign val="superscript"/>
        <sz val="9"/>
        <rFont val="Times New Roman Cyr"/>
        <family val="1"/>
      </rPr>
      <t>3</t>
    </r>
  </si>
  <si>
    <t>3.2.</t>
  </si>
  <si>
    <t>Водоотведение (канализация)</t>
  </si>
  <si>
    <t>4.1.</t>
  </si>
  <si>
    <t>при наличии  общедомовых приборов учета ( ГВС, ХВС)</t>
  </si>
  <si>
    <t>4.2.</t>
  </si>
  <si>
    <t>при отсутствии общедомовых приборов учета (ГВС,ХВС)</t>
  </si>
  <si>
    <t>Электроснабжение</t>
  </si>
  <si>
    <t>5.1.</t>
  </si>
  <si>
    <t>в домах с электроплитами</t>
  </si>
  <si>
    <t>квт.час</t>
  </si>
  <si>
    <t>квт.час/чел./мес.</t>
  </si>
  <si>
    <t>тыс.квт.час</t>
  </si>
  <si>
    <t>5.2.</t>
  </si>
  <si>
    <t>в домах с газовыми плитами</t>
  </si>
  <si>
    <t>Газоснабжение</t>
  </si>
  <si>
    <t>кг/чел./мес.</t>
  </si>
  <si>
    <t>тыс.кг</t>
  </si>
  <si>
    <t>Итого</t>
  </si>
  <si>
    <t xml:space="preserve">Предельный  (максимальный )  индекс </t>
  </si>
  <si>
    <t>за 1 полугодие (межотопительный период)</t>
  </si>
  <si>
    <t>за 2 полугодие (межотопительный период)</t>
  </si>
  <si>
    <r>
      <t>тыс.м</t>
    </r>
    <r>
      <rPr>
        <vertAlign val="superscript"/>
        <sz val="9"/>
        <color indexed="12"/>
        <rFont val="Times New Roman Cyr"/>
        <family val="1"/>
      </rPr>
      <t>3</t>
    </r>
  </si>
  <si>
    <r>
      <t>м</t>
    </r>
    <r>
      <rPr>
        <vertAlign val="superscript"/>
        <sz val="9"/>
        <color indexed="12"/>
        <rFont val="Times New Roman Cyr"/>
        <family val="1"/>
      </rPr>
      <t xml:space="preserve">3 </t>
    </r>
  </si>
  <si>
    <r>
      <t>тыс.м</t>
    </r>
    <r>
      <rPr>
        <vertAlign val="superscript"/>
        <sz val="9"/>
        <color indexed="12"/>
        <rFont val="Times New Roman Cyr"/>
        <family val="1"/>
      </rPr>
      <t>4</t>
    </r>
  </si>
  <si>
    <r>
      <t>м</t>
    </r>
    <r>
      <rPr>
        <vertAlign val="superscript"/>
        <sz val="9"/>
        <color indexed="12"/>
        <rFont val="Times New Roman Cyr"/>
        <family val="1"/>
      </rPr>
      <t>3</t>
    </r>
  </si>
  <si>
    <t>при наличии  общедомовых приборов учета
 ( ГВС, ХВС)</t>
  </si>
  <si>
    <t>за 2 полугодие (отопительный период )</t>
  </si>
  <si>
    <t>ВСЕГО  по  исполнителю коммунальных услуг с учетом предельного индекса</t>
  </si>
  <si>
    <t>М.П.</t>
  </si>
  <si>
    <t>ФИО исполнителя</t>
  </si>
  <si>
    <t xml:space="preserve">                          </t>
  </si>
  <si>
    <t>Не нужно забивать цифры поверх автоматических формул</t>
  </si>
  <si>
    <t>Форма  2-1</t>
  </si>
  <si>
    <t>ООО «Жилбытсервис» , Бирилюсский район</t>
  </si>
  <si>
    <t>1 ПОЛУГОДИЕ (отопительный период)</t>
  </si>
  <si>
    <t>Раздел 1. По многоквартирным и жилым домам необорудованным общедомовыми приборами учета соответствующего коммунального ресурса</t>
  </si>
  <si>
    <t>№ п/п</t>
  </si>
  <si>
    <t>Наименование МО</t>
  </si>
  <si>
    <t xml:space="preserve">Наименование ресурсоснабжающей организации </t>
  </si>
  <si>
    <t>Количество МКД и жилых домов</t>
  </si>
  <si>
    <t xml:space="preserve">базовый период 1 полугодие (отопительный период) </t>
  </si>
  <si>
    <t xml:space="preserve">Норматив потребления на отопление </t>
  </si>
  <si>
    <t>Кол-во месяцев, принятых в расчет норматива</t>
  </si>
  <si>
    <t>Общая площадь жилищного фонда, обеспеченная отоплением</t>
  </si>
  <si>
    <t>Кол-во человек, пользующихся отоплением</t>
  </si>
  <si>
    <t xml:space="preserve">Объем потребления коммунальных услуг
</t>
  </si>
  <si>
    <t>Норматив потребления на отопление</t>
  </si>
  <si>
    <t>Гкал/м2/мес</t>
  </si>
  <si>
    <t>мес.</t>
  </si>
  <si>
    <t>тыс.м2</t>
  </si>
  <si>
    <t>п.Рассвет</t>
  </si>
  <si>
    <t>ООО «Жилбытсервис»</t>
  </si>
  <si>
    <t xml:space="preserve">ИТОГО  </t>
  </si>
  <si>
    <t>Раздел 2. По многоквартирным домам оборудованными общедомовыми приборами учета соответствующего коммунального ресурса</t>
  </si>
  <si>
    <t>Объем потребления  по общедомовому прибору учета</t>
  </si>
  <si>
    <t xml:space="preserve">Кол-во месяцев, принятых в расчет </t>
  </si>
  <si>
    <t>Объем потребления за расчетный период (месяц)</t>
  </si>
  <si>
    <t>Гкал/мес</t>
  </si>
  <si>
    <t xml:space="preserve">1 ПОЛУГОДИЕ </t>
  </si>
  <si>
    <t>МЕЖОТОПИТЕЛЬНЫЙ ПЕРИОД</t>
  </si>
  <si>
    <t>базовый период 1 полугодие (межотопительный период)</t>
  </si>
  <si>
    <t xml:space="preserve">2 ПОЛУГОДИЕ        </t>
  </si>
  <si>
    <t>базовый период 2 полугодие  (межотопительный период)</t>
  </si>
  <si>
    <t>ОТОПИТЕЛЬНЫЙ ПЕРИОД</t>
  </si>
  <si>
    <t>базовый период 2 полугодие  ( отопительный период)</t>
  </si>
  <si>
    <t>Не нужно забивать цифры или текст поверх автоматических формул</t>
  </si>
  <si>
    <t>Форма 2-2</t>
  </si>
  <si>
    <t>1 ПОЛУГОДИЕ</t>
  </si>
  <si>
    <t>базовый период 1 полугодие (отопительный период)</t>
  </si>
  <si>
    <t xml:space="preserve">Утвержденные цены (тарифы) для ресурсоснабжающих организаций, действовавшие  в базовом периоде </t>
  </si>
  <si>
    <t>Плата за коммунальные услуги граждан,  в базовом периоде</t>
  </si>
  <si>
    <t>Уровень оплаты   (гр.5 / гр.4 * 100)</t>
  </si>
  <si>
    <r>
      <t>Объем потребления коммунальных услуг (</t>
    </r>
    <r>
      <rPr>
        <b/>
        <sz val="10"/>
        <rFont val="Times New Roman Cyr"/>
        <family val="1"/>
      </rPr>
      <t>из приложения 2-1 гр.9
 раздел 1</t>
    </r>
    <r>
      <rPr>
        <sz val="10"/>
        <rFont val="Times New Roman Cyr"/>
        <family val="1"/>
      </rPr>
      <t xml:space="preserve"> )</t>
    </r>
  </si>
  <si>
    <t>Утвержденные цены (тарифы) для ресурсоснабжающих организаций  на текущий год</t>
  </si>
  <si>
    <t>Плата за коммунальные услуги граждан,  учетом предельного (максимального)  индекса в текущем периоде</t>
  </si>
  <si>
    <r>
      <t xml:space="preserve">Объем потребления коммунальных услуг </t>
    </r>
    <r>
      <rPr>
        <b/>
        <sz val="10"/>
        <rFont val="Times New Roman Cyr"/>
        <family val="1"/>
      </rPr>
      <t>(из приложения 2-1 гр.14,
раздел 1</t>
    </r>
    <r>
      <rPr>
        <sz val="10"/>
        <rFont val="Times New Roman Cyr"/>
        <family val="1"/>
      </rPr>
      <t>)</t>
    </r>
  </si>
  <si>
    <r>
      <t>рассчитанная по ценам (тарифам), установленным ресурсоснабжающей организации 
 (</t>
    </r>
    <r>
      <rPr>
        <i/>
        <sz val="9"/>
        <rFont val="Times New Roman Cyr"/>
        <family val="1"/>
      </rPr>
      <t>гр.4*гр.7)</t>
    </r>
  </si>
  <si>
    <r>
      <t xml:space="preserve"> </t>
    </r>
    <r>
      <rPr>
        <sz val="10"/>
        <rFont val="Times New Roman Cyr"/>
        <family val="1"/>
      </rP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 Cyr"/>
        <family val="1"/>
      </rPr>
      <t>гр.5*гр.7)</t>
    </r>
  </si>
  <si>
    <r>
      <t>рассчитанная по ценам (тарифам), установленным ресурсоснабжающей организации   (</t>
    </r>
    <r>
      <rPr>
        <i/>
        <sz val="9"/>
        <rFont val="Times New Roman Cyr"/>
        <family val="1"/>
      </rPr>
      <t>гр.10*гр.13)</t>
    </r>
  </si>
  <si>
    <r>
      <t>с учетом предельного индекса, используемого для начисления гражданам  платы в текущем периоде (</t>
    </r>
    <r>
      <rPr>
        <i/>
        <sz val="10"/>
        <rFont val="Times New Roman Cyr"/>
        <family val="1"/>
      </rPr>
      <t>гр.17*гр.19)</t>
    </r>
  </si>
  <si>
    <t>руб./Гкал</t>
  </si>
  <si>
    <t>тыс. Гкал</t>
  </si>
  <si>
    <r>
      <t>Объем потребления коммунальных услуг (</t>
    </r>
    <r>
      <rPr>
        <b/>
        <sz val="10"/>
        <rFont val="Times New Roman Cyr"/>
        <family val="1"/>
      </rPr>
      <t>из приложения 2-1 гр.9,
 раздел 2</t>
    </r>
    <r>
      <rPr>
        <sz val="10"/>
        <rFont val="Times New Roman Cyr"/>
        <family val="1"/>
      </rPr>
      <t xml:space="preserve"> )</t>
    </r>
  </si>
  <si>
    <r>
      <t>Объем потребления коммунальных услуг  (</t>
    </r>
    <r>
      <rPr>
        <b/>
        <sz val="10"/>
        <rFont val="Times New Roman Cyr"/>
        <family val="1"/>
      </rPr>
      <t>из приложения 2-1 гр.14,
 раздел 2</t>
    </r>
    <r>
      <rPr>
        <sz val="10"/>
        <rFont val="Times New Roman Cyr"/>
        <family val="1"/>
      </rPr>
      <t>)</t>
    </r>
  </si>
  <si>
    <r>
      <t>рассчитанная по ценам (тарифам), установленным ресурсоснабжающей организации (</t>
    </r>
    <r>
      <rPr>
        <i/>
        <sz val="9"/>
        <rFont val="Times New Roman Cyr"/>
        <family val="1"/>
      </rPr>
      <t>гр.4*гр.7)</t>
    </r>
  </si>
  <si>
    <r>
      <t xml:space="preserve"> с учетом предельного индекса, используемого для начисления гражданам  платы в базовом периоде (</t>
    </r>
    <r>
      <rPr>
        <i/>
        <sz val="9"/>
        <rFont val="Times New Roman Cyr"/>
        <family val="1"/>
      </rPr>
      <t>гр.5*гр.7)</t>
    </r>
  </si>
  <si>
    <t>с учетом предельного индекса, используемого для начисления гражданам  платы в текущем периоде )  (гр.11*гр.13)</t>
  </si>
  <si>
    <t>базовый период 1 полугодие  (межотопительный период)</t>
  </si>
  <si>
    <t>2 ПОЛУГОДИЕ</t>
  </si>
  <si>
    <r>
      <t>Объем потребления коммунальных услуг (</t>
    </r>
    <r>
      <rPr>
        <b/>
        <sz val="10"/>
        <rFont val="Times New Roman Cyr"/>
        <family val="1"/>
      </rPr>
      <t>из приложения 2-1 гр.9
 раздел 1</t>
    </r>
    <r>
      <rPr>
        <sz val="10"/>
        <rFont val="Times New Roman Cyr"/>
        <family val="1"/>
      </rPr>
      <t xml:space="preserve"> )             2 полугодие меж отопительный период</t>
    </r>
  </si>
  <si>
    <r>
      <t xml:space="preserve">Объем потребления коммунальных услуг </t>
    </r>
    <r>
      <rPr>
        <b/>
        <sz val="10"/>
        <rFont val="Times New Roman Cyr"/>
        <family val="1"/>
      </rPr>
      <t>(из приложения 2-1 гр.14,
раздел 1</t>
    </r>
    <r>
      <rPr>
        <sz val="10"/>
        <rFont val="Times New Roman Cyr"/>
        <family val="1"/>
      </rPr>
      <t>)              2 полугодие меж отопительный период</t>
    </r>
  </si>
  <si>
    <r>
      <t>Объем потребления коммунальных услуг (</t>
    </r>
    <r>
      <rPr>
        <b/>
        <sz val="10"/>
        <rFont val="Times New Roman Cyr"/>
        <family val="1"/>
      </rPr>
      <t>из приложения 2-1 гр.9,
 раздел 2</t>
    </r>
    <r>
      <rPr>
        <sz val="10"/>
        <rFont val="Times New Roman Cyr"/>
        <family val="1"/>
      </rPr>
      <t xml:space="preserve"> )             2 полугодие меж отопительный период          </t>
    </r>
  </si>
  <si>
    <r>
      <t>Объем потребления коммунальных услуг  (</t>
    </r>
    <r>
      <rPr>
        <b/>
        <sz val="10"/>
        <rFont val="Times New Roman Cyr"/>
        <family val="1"/>
      </rPr>
      <t>из приложения 2-1 гр.14,
 раздел 2</t>
    </r>
    <r>
      <rPr>
        <sz val="10"/>
        <rFont val="Times New Roman Cyr"/>
        <family val="1"/>
      </rPr>
      <t xml:space="preserve">)             2 полугодие меж отопительный период          </t>
    </r>
  </si>
  <si>
    <t>базовый период 2 полугодие  (отопительный период)</t>
  </si>
  <si>
    <r>
      <t>Объем потребления коммунальных услуг (</t>
    </r>
    <r>
      <rPr>
        <b/>
        <sz val="10"/>
        <rFont val="Times New Roman Cyr"/>
        <family val="1"/>
      </rPr>
      <t>из приложения 2-1 гр.9
 раздел 1</t>
    </r>
    <r>
      <rPr>
        <sz val="10"/>
        <rFont val="Times New Roman Cyr"/>
        <family val="1"/>
      </rPr>
      <t xml:space="preserve"> )             2 полугодие отопительный период</t>
    </r>
  </si>
  <si>
    <r>
      <t xml:space="preserve">Объем потребления коммунальных услуг </t>
    </r>
    <r>
      <rPr>
        <b/>
        <sz val="10"/>
        <rFont val="Times New Roman Cyr"/>
        <family val="1"/>
      </rPr>
      <t>(из приложения 2-1 гр.14,
раздел 1</t>
    </r>
    <r>
      <rPr>
        <sz val="10"/>
        <rFont val="Times New Roman Cyr"/>
        <family val="1"/>
      </rPr>
      <t>)              2 полугодие отопительный период</t>
    </r>
  </si>
  <si>
    <r>
      <t>Объем потребления коммунальных услуг (</t>
    </r>
    <r>
      <rPr>
        <b/>
        <sz val="10"/>
        <rFont val="Times New Roman Cyr"/>
        <family val="1"/>
      </rPr>
      <t>из приложения 2-1 гр.9,
 раздел 2</t>
    </r>
    <r>
      <rPr>
        <sz val="10"/>
        <rFont val="Times New Roman Cyr"/>
        <family val="1"/>
      </rPr>
      <t xml:space="preserve"> )             2 полугодие отопительный период          </t>
    </r>
  </si>
  <si>
    <r>
      <t>Объем потребления коммунальных услуг  (</t>
    </r>
    <r>
      <rPr>
        <b/>
        <sz val="10"/>
        <rFont val="Times New Roman Cyr"/>
        <family val="1"/>
      </rPr>
      <t>из приложения 2-1 гр.14,
 раздел 2</t>
    </r>
    <r>
      <rPr>
        <sz val="10"/>
        <rFont val="Times New Roman Cyr"/>
        <family val="1"/>
      </rPr>
      <t xml:space="preserve">)             2 полугодие отопительный период          </t>
    </r>
  </si>
  <si>
    <t>Форма 3-1</t>
  </si>
  <si>
    <t>Раздел 1. По многоквартирным и жилым домам необорудованным общедомовыми приборами учета  соответствующего коммунального ресурса</t>
  </si>
  <si>
    <t>Расчетный объем т/эн. на нужды ГВС</t>
  </si>
  <si>
    <t>Норматив потребления на ГВС (показания ИПУ)</t>
  </si>
  <si>
    <t xml:space="preserve">Общая площадь  жилых помещений, обеспеченных ГВС/общая площадь помещений, входящих в состав общего имущества в  МКД
</t>
  </si>
  <si>
    <t>Кол-во зарегистрированных  человек, пользующихся ГВС</t>
  </si>
  <si>
    <t xml:space="preserve">Объем   потребления коммунальных услуг
</t>
  </si>
  <si>
    <t>Гкал/чел.</t>
  </si>
  <si>
    <t xml:space="preserve"> м3/чел</t>
  </si>
  <si>
    <t>человек</t>
  </si>
  <si>
    <t>тыс.куб.м</t>
  </si>
  <si>
    <t>4а</t>
  </si>
  <si>
    <t>по нормативам</t>
  </si>
  <si>
    <t>по ИПУ</t>
  </si>
  <si>
    <t>на ОДН</t>
  </si>
  <si>
    <t>Раздел 2. По многоквартирным домам оборудованным общедомовыми приборами учета  соответствующего коммунального ресурса</t>
  </si>
  <si>
    <t>Общая площадь жилищного фонда обеспеченного ГВС</t>
  </si>
  <si>
    <t xml:space="preserve"> м3</t>
  </si>
  <si>
    <t>базовый период 2 полугодие (отопительный период)</t>
  </si>
  <si>
    <t>Форма  3 -2</t>
  </si>
  <si>
    <t>Расчет  платы граждан  по услуге  горячее водоснабжение в  базовом периоде</t>
  </si>
  <si>
    <t>Наименование  МО</t>
  </si>
  <si>
    <t xml:space="preserve">Уровень оплаты </t>
  </si>
  <si>
    <t xml:space="preserve">Объем потребления коммунальных услуг  </t>
  </si>
  <si>
    <t>компонент на тепловую энергию</t>
  </si>
  <si>
    <t xml:space="preserve">компонент на теплоноситель </t>
  </si>
  <si>
    <r>
      <t xml:space="preserve">расчетный  размер платы   на ГВС
</t>
    </r>
    <r>
      <rPr>
        <b/>
        <sz val="8"/>
        <rFont val="Times New Roman Cyr"/>
        <family val="1"/>
      </rPr>
      <t>(гр.15/гр.12)</t>
    </r>
  </si>
  <si>
    <r>
      <t xml:space="preserve">расчетный  размер платы  граждан на ГВС
</t>
    </r>
    <r>
      <rPr>
        <b/>
        <sz val="8"/>
        <rFont val="Times New Roman Cyr"/>
        <family val="1"/>
      </rPr>
      <t>(гр.18/гр.12)</t>
    </r>
  </si>
  <si>
    <t xml:space="preserve"> рассчитанная по ценам (тарифам), установленным ресурсоснабжающей организации</t>
  </si>
  <si>
    <t xml:space="preserve"> с учетом предельного индекса, используемого для начисления гражданам  платы в базовом периоде</t>
  </si>
  <si>
    <t>(из приложения 3-1 гр.10, раздел 1)</t>
  </si>
  <si>
    <t>(из приложения 3-1 гр.11, раздел 1)</t>
  </si>
  <si>
    <t>гр.4*гр.11</t>
  </si>
  <si>
    <t>гр5*гр.12</t>
  </si>
  <si>
    <t>ИТОГО
гр.13+гр.14</t>
  </si>
  <si>
    <t>гр.7*гр.11</t>
  </si>
  <si>
    <t>гр.8*гр.12</t>
  </si>
  <si>
    <t>ИТОГО
гр.16+гр.17</t>
  </si>
  <si>
    <t>руб./куб.м</t>
  </si>
  <si>
    <t xml:space="preserve">Объем потребления коммунальных услуг </t>
  </si>
  <si>
    <t xml:space="preserve"> с учетом предельного индекса, используемого для начисления гражданам  платы</t>
  </si>
  <si>
    <t>(из приложения 3-1 гр.10, раздел 2)</t>
  </si>
  <si>
    <t>(из приложения 3-1 гр.11, раздел 2)</t>
  </si>
  <si>
    <t>базовый период 2 полугодие  (отопительный период )</t>
  </si>
  <si>
    <t xml:space="preserve"> </t>
  </si>
  <si>
    <t>Форма  3-3</t>
  </si>
  <si>
    <t>ООО "Жилбытсервис", Бирилюсский район</t>
  </si>
  <si>
    <t>Раздел 1. По многоквартирным и жилым домам необорудованными общедомовыми приборами учета тепловой  энергии исходя из нормативов потребления коммунальных услуг</t>
  </si>
  <si>
    <t>Плата за коммунальные услуги граждан,  с учетом предельного (максимального)  индекса в текущем периоде</t>
  </si>
  <si>
    <t>Объем потребления коммунальных услуг в текущем периоде</t>
  </si>
  <si>
    <r>
      <t xml:space="preserve">расчетный  размер платы   на ГВС
</t>
    </r>
    <r>
      <rPr>
        <b/>
        <sz val="8"/>
        <rFont val="Times New Roman Cyr"/>
        <family val="1"/>
      </rPr>
      <t>(гр.17/гр.14)</t>
    </r>
  </si>
  <si>
    <t>расчетный  размер платы  граждан на ГВС
(гр.20/гр.14)</t>
  </si>
  <si>
    <t>(из приложения 3-1 гр.17, раздел 1)</t>
  </si>
  <si>
    <t>(из приложения 3-1 гр.18, раздел 1)</t>
  </si>
  <si>
    <t>гр.4*гр.13</t>
  </si>
  <si>
    <t>гр5*гр.14</t>
  </si>
  <si>
    <t>ИТОГО
гр.15+гр.16</t>
  </si>
  <si>
    <t>гр.7*гр.13</t>
  </si>
  <si>
    <t>гр.8*гр.14</t>
  </si>
  <si>
    <t>ИТОГО
гр.18+гр.19</t>
  </si>
  <si>
    <t xml:space="preserve">ИТОГО </t>
  </si>
  <si>
    <t>Раздел 2. По многоквартирным домам оборудованным общедомовыми приборами учета соответствующего коммунального ресурса</t>
  </si>
  <si>
    <t>Наименование  муниципального поселения</t>
  </si>
  <si>
    <t>Плата за коммунальные услуги граждан, с  учетом предельного (максимального)  индекса в текущем периоде</t>
  </si>
  <si>
    <t>расчетный  размер платы   на ГВС
(гр.17/гр.14)</t>
  </si>
  <si>
    <t>(из приложения 3-1 гр.17, раздел 2)</t>
  </si>
  <si>
    <t>(из приложения 3-1 гр.18, раздел 2)</t>
  </si>
  <si>
    <t>Форма  3-4</t>
  </si>
  <si>
    <t>Уровень оплаты населением</t>
  </si>
  <si>
    <t>Фйорма  4-1</t>
  </si>
  <si>
    <t>Раздел 1. По многоквартирным и жилым домам  необорудованным общедомовыми приборами учета соответствующего коммунального ресурса</t>
  </si>
  <si>
    <t>Действующий норматив  (показание ИПУ)</t>
  </si>
  <si>
    <t>Общая площадь  жилых помещений, обеспеченных ХВС/общая площадь помещений, входящих в состав общего имущества в  МКД</t>
  </si>
  <si>
    <t>Количество зарегистрированных  человек, пользующихся услугой</t>
  </si>
  <si>
    <t>Объем  потребления коммунальных услуг гражданам (гр.5*гр.6*гр.8/1000)</t>
  </si>
  <si>
    <t>Объем  потребления коммунальных услуг гражданам  (гр.10*гр.11*гр.13/1000)</t>
  </si>
  <si>
    <t>куб.м/чел./мес.</t>
  </si>
  <si>
    <t xml:space="preserve"> тыс. куб. м</t>
  </si>
  <si>
    <t>куб.м/чел.</t>
  </si>
  <si>
    <t xml:space="preserve">Итого </t>
  </si>
  <si>
    <t>Раздел 2. По многоквартирным и жилым домам оборудованным общедомовыми приборами учета  соответствующего коммунального ресурса</t>
  </si>
  <si>
    <t>Объем потребления в базовом периоде</t>
  </si>
  <si>
    <t>Общая площадь  жилых помещений, обеспеченных ХВС</t>
  </si>
  <si>
    <t>Объем  потребления коммунальных услуг гражданам (гр.5*гр.6*гр./1000)</t>
  </si>
  <si>
    <t>Объем потребления в текущем периоде</t>
  </si>
  <si>
    <t>Объем  потребления коммунальных услуг гражданам  (гр.10*гр.11/1000)</t>
  </si>
  <si>
    <t>куб.м/мес.</t>
  </si>
  <si>
    <t>Общая площадь, на которой проживают граждане, пользующиеся услугой</t>
  </si>
  <si>
    <t xml:space="preserve"> ОТОПИТЕЛЬНЫЙ ПЕРИОД</t>
  </si>
  <si>
    <t>Форма  4-2</t>
  </si>
  <si>
    <t>Раздел 1. По многоквартирным и жилым домам  необорудованным общедомовыми приборами учета  соответствующего коммунального ресурса</t>
  </si>
  <si>
    <t>Наименование 
МО</t>
  </si>
  <si>
    <t xml:space="preserve">базовый период 1 полугодие (опопительный период) </t>
  </si>
  <si>
    <t>Утвержденные цены (тарифы) с НДС,  действовавшие в базовом периоде</t>
  </si>
  <si>
    <t>Объем потребления коммунальных услуг гражданам (из приложения 4-1 гр.9 раздел 1)</t>
  </si>
  <si>
    <t>Утвержденные цены (тарифы) для ресурсоснабжающих организаций  на текущий  период</t>
  </si>
  <si>
    <t>Уровень оплаты   (гр.11 / гр.10 * 100)</t>
  </si>
  <si>
    <t>Объем потребления коммунальных услуг гражданам (из приложения 4-1 гр.14 раздел 1)</t>
  </si>
  <si>
    <r>
      <t>рассчитанная по ценам (тарифам), установленным ресурсоснабжающей организации  (</t>
    </r>
    <r>
      <rPr>
        <i/>
        <sz val="11"/>
        <rFont val="Times New Roman Cyr"/>
        <family val="1"/>
      </rPr>
      <t>гр.4*гр.7)</t>
    </r>
  </si>
  <si>
    <r>
      <t xml:space="preserve"> </t>
    </r>
    <r>
      <rPr>
        <sz val="11"/>
        <rFont val="Times New Roman Cyr"/>
        <family val="1"/>
      </rPr>
      <t xml:space="preserve"> с учетом предельного индекса, используемого для начисления гражданам  платы в базовом периоде (</t>
    </r>
    <r>
      <rPr>
        <i/>
        <sz val="11"/>
        <rFont val="Times New Roman Cyr"/>
        <family val="1"/>
      </rPr>
      <t>гр.5*гр.7)</t>
    </r>
  </si>
  <si>
    <r>
      <t>рассчитанная по ценам (тарифам), установленным ресурсоснабжающей организации  (</t>
    </r>
    <r>
      <rPr>
        <i/>
        <sz val="11"/>
        <rFont val="Times New Roman Cyr"/>
        <family val="1"/>
      </rPr>
      <t>гр.10*гр.13)</t>
    </r>
  </si>
  <si>
    <r>
      <t xml:space="preserve">с учетом предельного индекса, используемого для начисления гражданам  платы в текущем периоде
</t>
    </r>
    <r>
      <rPr>
        <b/>
        <sz val="11"/>
        <color indexed="10"/>
        <rFont val="Times New Roman Cyr"/>
        <family val="1"/>
      </rPr>
      <t xml:space="preserve"> (</t>
    </r>
    <r>
      <rPr>
        <b/>
        <i/>
        <sz val="11"/>
        <color indexed="10"/>
        <rFont val="Times New Roman CYR"/>
        <family val="1"/>
      </rPr>
      <t>гр.11*гр.13)</t>
    </r>
  </si>
  <si>
    <t>Расчет средневзвешенного тарифа по исполнителю коммунальных услуг</t>
  </si>
  <si>
    <r>
      <t xml:space="preserve">  гр.8</t>
    </r>
    <r>
      <rPr>
        <b/>
        <sz val="11"/>
        <rFont val="Times New Roman Cyr"/>
        <family val="1"/>
      </rPr>
      <t xml:space="preserve"> /</t>
    </r>
    <r>
      <rPr>
        <sz val="11"/>
        <rFont val="Times New Roman Cyr"/>
        <family val="1"/>
      </rPr>
      <t xml:space="preserve">   гр.7</t>
    </r>
  </si>
  <si>
    <r>
      <t xml:space="preserve"> гр.9</t>
    </r>
    <r>
      <rPr>
        <b/>
        <sz val="11"/>
        <rFont val="Times New Roman Cyr"/>
        <family val="1"/>
      </rPr>
      <t xml:space="preserve"> /</t>
    </r>
    <r>
      <rPr>
        <sz val="11"/>
        <rFont val="Times New Roman Cyr"/>
        <family val="1"/>
      </rPr>
      <t xml:space="preserve">   гр.7</t>
    </r>
  </si>
  <si>
    <r>
      <t xml:space="preserve"> гр.14</t>
    </r>
    <r>
      <rPr>
        <b/>
        <sz val="11"/>
        <rFont val="Times New Roman Cyr"/>
        <family val="1"/>
      </rPr>
      <t xml:space="preserve"> /</t>
    </r>
    <r>
      <rPr>
        <sz val="11"/>
        <rFont val="Times New Roman Cyr"/>
        <family val="1"/>
      </rPr>
      <t xml:space="preserve">  гр.13</t>
    </r>
  </si>
  <si>
    <r>
      <t>гр.15</t>
    </r>
    <r>
      <rPr>
        <b/>
        <sz val="11"/>
        <rFont val="Times New Roman Cyr"/>
        <family val="1"/>
      </rPr>
      <t xml:space="preserve"> /</t>
    </r>
    <r>
      <rPr>
        <sz val="11"/>
        <rFont val="Times New Roman Cyr"/>
        <family val="1"/>
      </rPr>
      <t xml:space="preserve">  гр.13</t>
    </r>
  </si>
  <si>
    <t>Объем потребления коммунальных услуг гражданам (из приложения 4-1 гр.9 раздел 2)</t>
  </si>
  <si>
    <t>Объем потребления коммунальных услуг гражданам (из приложения 4-1 гр.14 раздел 2)</t>
  </si>
  <si>
    <r>
      <t xml:space="preserve">с учетом предельного индекса, используемого для начисления гражданам  платы в текущем периоде
</t>
    </r>
    <r>
      <rPr>
        <b/>
        <sz val="11"/>
        <rFont val="Times New Roman Cyr"/>
        <family val="1"/>
      </rPr>
      <t xml:space="preserve"> (</t>
    </r>
    <r>
      <rPr>
        <b/>
        <i/>
        <sz val="11"/>
        <rFont val="Times New Roman CYR"/>
        <family val="1"/>
      </rPr>
      <t>гр.11*гр.13)</t>
    </r>
  </si>
  <si>
    <t xml:space="preserve">базовый период 1 полугодие (межопопительный период) </t>
  </si>
  <si>
    <t>Форма  5-1</t>
  </si>
  <si>
    <t>НаименованиеМО</t>
  </si>
  <si>
    <t>Действующие нормативы   (ГВС+ХВС)</t>
  </si>
  <si>
    <t>Общая площадь жилых помещений, на которой проживают граждане, пользующиеся услугой</t>
  </si>
  <si>
    <t>Объем потребления коммунальных услуг (гр.4*гр.5*гр.7/1000)</t>
  </si>
  <si>
    <t>Количество человек, пользующихся услугой</t>
  </si>
  <si>
    <t>Объем потребления коммунальных услуг(гр.9*гр.10*гр.12/1000)</t>
  </si>
  <si>
    <t>3А</t>
  </si>
  <si>
    <t>ООО «АЛЬЯНС»</t>
  </si>
  <si>
    <t>ИПУ (ГВС+ХВС)</t>
  </si>
  <si>
    <t>Объем  потребления коммунальных услуг гражданам (гр.4*гр.5*гр./1000)</t>
  </si>
  <si>
    <t>Объем  потребления коммунальных услуг гражданам  (гр.9*гр.10/1000)</t>
  </si>
  <si>
    <t>Форима  5-2</t>
  </si>
  <si>
    <t xml:space="preserve">Наименование 
МО
</t>
  </si>
  <si>
    <t>Утвержденные цены (тарифы) с НДС</t>
  </si>
  <si>
    <t>Плата за коммунальные услуги граждан</t>
  </si>
  <si>
    <t>Объем потребления коммунальных услуг (из приложения 5-1 гр.8 раздел 1)</t>
  </si>
  <si>
    <t>Объем потребления коммунальных услуг  (из приложения 5-1 гр.13 раздел 1)</t>
  </si>
  <si>
    <t>рассчитанная по ценам (тарифам), установленным ресурсоснабжающей организации  (гр.4*гр.7)</t>
  </si>
  <si>
    <t xml:space="preserve">  с учетом предельного индекса, используемого для начисления гражданам  платы (гр.5*гр.7)</t>
  </si>
  <si>
    <t>рассчитанная по ценам (тарифам), установленным ресурсоснабжающей организации  (гр.10*гр.13)</t>
  </si>
  <si>
    <t>с учетом предельного индекса, используемого для начисления гражданам  платы 
 (гр.11*гр.13)</t>
  </si>
  <si>
    <t xml:space="preserve">Расчет средневзвешенного тарифа </t>
  </si>
  <si>
    <r>
      <t xml:space="preserve">  гр.8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гр.7</t>
    </r>
  </si>
  <si>
    <r>
      <t xml:space="preserve"> гр.9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гр.7</t>
    </r>
  </si>
  <si>
    <r>
      <t xml:space="preserve">  гр.14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гр.13</t>
    </r>
  </si>
  <si>
    <r>
      <t xml:space="preserve"> гр.15</t>
    </r>
    <r>
      <rPr>
        <b/>
        <sz val="10"/>
        <rFont val="Times New Roman Cyr"/>
        <family val="1"/>
      </rPr>
      <t xml:space="preserve"> /</t>
    </r>
    <r>
      <rPr>
        <sz val="10"/>
        <rFont val="Times New Roman Cyr"/>
        <family val="1"/>
      </rPr>
      <t xml:space="preserve">   гр.13</t>
    </r>
  </si>
  <si>
    <t>Объем потребления коммунальных услуг (из приложения 5-1 гр.8 раздел 2)</t>
  </si>
  <si>
    <t>Объем потребления коммунальных услуг  (из приложения 5-1 гр.13 раздел 2)</t>
  </si>
  <si>
    <t xml:space="preserve">  с учетом предельного индекса, используемого для начисления гражданам  платы  (гр.5*гр.7)</t>
  </si>
  <si>
    <t>ПРИМЕР РАСЧЕТА СРЕДНЕВЗВЕШЕННОГО НОРМАТИВА ПОТРЕБЛЕНИЯ ЭЛЕКТРОЭНЕРГИИ</t>
  </si>
  <si>
    <t>доля</t>
  </si>
  <si>
    <t>1.</t>
  </si>
  <si>
    <t>Общая площадь жилых помещений в целом по МО (статистика)</t>
  </si>
  <si>
    <t>из них  1-комн.жилых помещений</t>
  </si>
  <si>
    <t>ячейки для заполнения</t>
  </si>
  <si>
    <t>2-комн.жилых помещений</t>
  </si>
  <si>
    <t>3-комн.жилых помещений</t>
  </si>
  <si>
    <t>формулы расчета (не трогать)</t>
  </si>
  <si>
    <t>4-комн.жилых помещений</t>
  </si>
  <si>
    <t>2.</t>
  </si>
  <si>
    <t>Общая численность проживающих в МО</t>
  </si>
  <si>
    <t>в среднем на 1 человека</t>
  </si>
  <si>
    <t>кв.м</t>
  </si>
  <si>
    <t>из них в 1-комн.жилых помещениях</t>
  </si>
  <si>
    <t>2-комн.жилых помещениях</t>
  </si>
  <si>
    <t>3-комн.жилых помещениях</t>
  </si>
  <si>
    <t>4-комн.жилых помещениях</t>
  </si>
  <si>
    <t>3.</t>
  </si>
  <si>
    <t>Среднее число проживающих в жилом помещении</t>
  </si>
  <si>
    <t>человека</t>
  </si>
  <si>
    <t>(определить по своему МО самостоятельно, эти цифры только для примера)</t>
  </si>
  <si>
    <t>численность</t>
  </si>
  <si>
    <t>4.</t>
  </si>
  <si>
    <t>Оборудовано - всего (статистика)</t>
  </si>
  <si>
    <t xml:space="preserve">Оборудовано напольными электроплитами </t>
  </si>
  <si>
    <t>Оборудовано газом (сетевым, сжиженным)</t>
  </si>
  <si>
    <t>Оборудовано плитами на твердом топливе</t>
  </si>
  <si>
    <t>5.</t>
  </si>
  <si>
    <t>Общая численность, проживающих в МО в зависимости от оборудования</t>
  </si>
  <si>
    <t>с электроплитами</t>
  </si>
  <si>
    <t>газ+тв.топл.</t>
  </si>
  <si>
    <t>с газовыми плитами</t>
  </si>
  <si>
    <t>с плитами на тв.топливе</t>
  </si>
  <si>
    <t>6.</t>
  </si>
  <si>
    <t>Количество одинокопроживающих граждан в общей численности</t>
  </si>
  <si>
    <t>7.</t>
  </si>
  <si>
    <r>
      <t xml:space="preserve">Нормативы </t>
    </r>
    <r>
      <rPr>
        <b/>
        <u val="single"/>
        <sz val="10"/>
        <rFont val="Arial Cyr"/>
        <family val="2"/>
      </rPr>
      <t>в многоквартирных домах без лифта</t>
    </r>
    <r>
      <rPr>
        <b/>
        <sz val="10"/>
        <rFont val="Arial Cyr"/>
        <family val="2"/>
      </rPr>
      <t xml:space="preserve"> </t>
    </r>
    <r>
      <rPr>
        <b/>
        <sz val="10"/>
        <color indexed="10"/>
        <rFont val="Arial Cyr"/>
        <family val="2"/>
      </rPr>
      <t>(брать согласно типу жилищного фонда МО по закону края)</t>
    </r>
  </si>
  <si>
    <t>эл.плиты</t>
  </si>
  <si>
    <t>газ.плиты</t>
  </si>
  <si>
    <t>на тв.топливе</t>
  </si>
  <si>
    <t>1-комн.жилых помещениях (2 человека)</t>
  </si>
  <si>
    <t>кВтч на 1 человека в месяц</t>
  </si>
  <si>
    <t>2-комн.жилых помещениях (3 человека)</t>
  </si>
  <si>
    <t>3-комн.жилых помещениях (4 человека)</t>
  </si>
  <si>
    <t>4-комн.жилых помещениях (4 человека)</t>
  </si>
  <si>
    <t>8.</t>
  </si>
  <si>
    <r>
      <t xml:space="preserve">Расчет средневзвешенного норматива по МО </t>
    </r>
    <r>
      <rPr>
        <b/>
        <sz val="10"/>
        <color indexed="10"/>
        <rFont val="Arial Cyr"/>
        <family val="2"/>
      </rPr>
      <t>(для районов расчет делается по каждому поселению)</t>
    </r>
  </si>
  <si>
    <t xml:space="preserve">Средневзвешенный утвержденный норматив потребления на 1 человека в месяц, кВтч* </t>
  </si>
  <si>
    <t>Количество человек, пользующихся услугами, чел.</t>
  </si>
  <si>
    <t>Годовой нормативный объем потребления электроэнергии тыс.кВтч</t>
  </si>
  <si>
    <t>Всего</t>
  </si>
  <si>
    <t>в том числе:</t>
  </si>
  <si>
    <t>в том числе</t>
  </si>
  <si>
    <t>семьи, состоящие из 2-х и более человек</t>
  </si>
  <si>
    <t>одиноко проживающие</t>
  </si>
  <si>
    <t>в пределах соц. нормы</t>
  </si>
  <si>
    <t>сверх соц. нормы</t>
  </si>
  <si>
    <t>по электроплитам</t>
  </si>
  <si>
    <t>1-комн.жилых помещениях</t>
  </si>
  <si>
    <t>по газовым плитам</t>
  </si>
  <si>
    <t>по плитам на тв.топливе</t>
  </si>
  <si>
    <t>Форма 7-1</t>
  </si>
  <si>
    <t>РАСЧЕТ СРЕДНЕВЗВЕШЕННОГО НОРМАТИВА ПОТРЕБЛЕНИЯ ЭЛЕКТРОЭНЕРГИИ</t>
  </si>
  <si>
    <t>п.Рассвет ООО «Жилбытсервис»</t>
  </si>
  <si>
    <t>(наименование города, района, сельсовета)</t>
  </si>
  <si>
    <r>
      <t xml:space="preserve">Нормативы </t>
    </r>
    <r>
      <rPr>
        <b/>
        <sz val="10"/>
        <color indexed="10"/>
        <rFont val="Times New Roman"/>
        <family val="1"/>
      </rPr>
      <t>(брать согласно типу жилищного фонда МО по закону края от 24.12.2009 № 9-4283)</t>
    </r>
  </si>
  <si>
    <r>
      <t xml:space="preserve">Расчет средневзвешенного норматива по МО </t>
    </r>
    <r>
      <rPr>
        <b/>
        <sz val="10"/>
        <color indexed="10"/>
        <rFont val="Times New Roman"/>
        <family val="1"/>
      </rPr>
      <t>(для районов расчет делается по каждому поселению)</t>
    </r>
  </si>
  <si>
    <t>Форма 7-2</t>
  </si>
  <si>
    <t>Степень санитарно-технического оборудования жилых домов</t>
  </si>
  <si>
    <t>Утвержденные цены (тарифы) с НДС, руб./кВтч</t>
  </si>
  <si>
    <t>Объем потребления электроэнергии, тыс.кВтч</t>
  </si>
  <si>
    <t xml:space="preserve">Плата за коммунальные услуги граждан, тыс. руб. </t>
  </si>
  <si>
    <t>Общая площадь жилищного фонда,
тыс. кв.м</t>
  </si>
  <si>
    <t xml:space="preserve">Всего
</t>
  </si>
  <si>
    <t>средневзвешенный  тариф 
гр18/гр.13</t>
  </si>
  <si>
    <t>при потреблении в пределах соц. нормы</t>
  </si>
  <si>
    <t>при потреблении сверх соц. нормы</t>
  </si>
  <si>
    <t xml:space="preserve">в пределах соц. нормы
</t>
  </si>
  <si>
    <t xml:space="preserve">сверх соц. нормы
</t>
  </si>
  <si>
    <t>дома, оборудованные электрическими плитами в установленном порядке</t>
  </si>
  <si>
    <t>дома,  оборудованные газовыми плитами и  плитами на твердом топливе, всего
в том числе:</t>
  </si>
  <si>
    <t>дома,  оборудованные газовыми  плитами</t>
  </si>
  <si>
    <t>дома,  оборудованные плитами на твердом топливе</t>
  </si>
  <si>
    <t>средневзвешенный тариф</t>
  </si>
  <si>
    <t xml:space="preserve">базовый период 1 полугодие (межотопительный период) </t>
  </si>
  <si>
    <t>базовый период 2 полугодие  (межотопительный период )</t>
  </si>
  <si>
    <t>Форма  8</t>
  </si>
  <si>
    <t>Наименование муниципального поселения</t>
  </si>
  <si>
    <t>Вид 
газоснабжения</t>
  </si>
  <si>
    <t>Розничная цена на сжиженый  газ, реализуемый  населению</t>
  </si>
  <si>
    <t>Общая площадь жилых помещений, в которой проживают граждане, пользующиеся газом</t>
  </si>
  <si>
    <t>Количество человек, пользующихся газом, всего</t>
  </si>
  <si>
    <t>Норматив потребления газа в месяц</t>
  </si>
  <si>
    <t>Объем потребления коммунальных услуг(гр.7*гр.8*гр.9)</t>
  </si>
  <si>
    <t>Норматив потребления газа</t>
  </si>
  <si>
    <t>Объем потребления коммунальных услуг (гр.17*гр.18*гр.19)</t>
  </si>
  <si>
    <t>рассчитанная по розничной цене на сжиженый  газ, реализуемый  населению (гр.3*гр.10)</t>
  </si>
  <si>
    <t xml:space="preserve">  с учетом предельного индекса, используемого для начисления гражданам  платы (гр.4*гр.10)</t>
  </si>
  <si>
    <t>рассчитанная по  розничной цене на сжиженый  газ, реализуемый  населению (гр.13*гр.20)</t>
  </si>
  <si>
    <t>с учетом предельного индекса, используемого для начисления гражданам  платы  (гр.14*гр.20)</t>
  </si>
  <si>
    <t>руб./кг</t>
  </si>
  <si>
    <t>кг/чел</t>
  </si>
  <si>
    <t>2А</t>
  </si>
  <si>
    <t>1. Сжиженый газ из групповых резервуарных установок</t>
  </si>
  <si>
    <t>2. Сжиженый газ в баллонах с доставкой до потребителя</t>
  </si>
  <si>
    <t>2.1. Сжиженый газ в баллонах без доставки до потребителя</t>
  </si>
  <si>
    <t>Кол-во месяцев, принятых в расчет</t>
  </si>
  <si>
    <t>базовый период 2  полугодие  (отопительный период )</t>
  </si>
  <si>
    <t>Наименование исполнителя КУ ООО "Жилбытсервис"</t>
  </si>
  <si>
    <t>п. Рассвет</t>
  </si>
  <si>
    <t>ООО "Жилбытсервис"</t>
  </si>
  <si>
    <t>ООО «Жилбтсервис»</t>
  </si>
  <si>
    <t xml:space="preserve">телефон  </t>
  </si>
  <si>
    <t>Генеральный директор</t>
  </si>
  <si>
    <t xml:space="preserve">        О.Н. Гвоздева</t>
  </si>
  <si>
    <t>Грехова Татьяна Владимировна</t>
  </si>
  <si>
    <t>8-923-287-90-35</t>
  </si>
  <si>
    <t>Отчет  о фактическом размере  средств субсидии на компенсацию части платы граждан за  коммунальные услуги для жилых помещений с центральным отоплением за 20 18 год
 ___ООО "Жилбытсервис"___  исполнитель коммунальных услуг,  ___Бирилюсский район         городской округ (муниципальый район)</t>
  </si>
  <si>
    <t>Расчет  платы граждан  за коммунальную услугу электроснабжение для домов с центральным отоплением в 2018 году</t>
  </si>
  <si>
    <t xml:space="preserve">  2018 год 1 полугодие (отопительный период)</t>
  </si>
  <si>
    <t xml:space="preserve">  2018 год 1 полугодие (межотопительный период)</t>
  </si>
  <si>
    <t>2018 год  2 полугодие (межотопительный период)</t>
  </si>
  <si>
    <t>2018 год  2 полугодие (отопительный период )</t>
  </si>
  <si>
    <t>Расчет средневзвешенных  нормативов и объемов потребления тепловой энергии по отоплению в 2018 году</t>
  </si>
  <si>
    <t xml:space="preserve">2018 год 1 полугодие  (отопительный период) </t>
  </si>
  <si>
    <t xml:space="preserve">2018 год 1 полугодие  (межотопительный период) </t>
  </si>
  <si>
    <t>2018 год  2 полугодие (межотопительный период )</t>
  </si>
  <si>
    <t>2018 год  2 полугодие (отопительный период)</t>
  </si>
  <si>
    <t>Расчет  платы граждан по услуге  отопление в  2018 году</t>
  </si>
  <si>
    <t>2018 год 1 полугодие  (отопительный период)</t>
  </si>
  <si>
    <t>2018 год 1 полугодие  (межотопительный период)</t>
  </si>
  <si>
    <t>2018  год 1 полугодие  (отопительный период)</t>
  </si>
  <si>
    <t>Расчет средневзвешенных  нормативов и объемов потребления тепловой энергии  по  горячему водоснабжению в  2018 году</t>
  </si>
  <si>
    <t>2018  год 1 полугодие  (межотопительный период)</t>
  </si>
  <si>
    <t>Расчет  платы граждан  по услуге  горячее водоснабжение  в 1 полугодии 2018 года</t>
  </si>
  <si>
    <t>Расчет  платы граждан  по услуге  горячее водоснабжение  во 2 полугодии  2018 года</t>
  </si>
  <si>
    <r>
      <t xml:space="preserve">Расчет средневзвешанных нормативов и объемов потребления холодного водоснабжения для жилых помещений с </t>
    </r>
    <r>
      <rPr>
        <b/>
        <sz val="14"/>
        <rFont val="Times New Roman"/>
        <family val="1"/>
      </rPr>
      <t>центральным отоплением</t>
    </r>
    <r>
      <rPr>
        <b/>
        <sz val="12"/>
        <rFont val="Times New Roman"/>
        <family val="1"/>
      </rPr>
      <t xml:space="preserve">   в 2018 году
</t>
    </r>
  </si>
  <si>
    <t>2018 год 1 полугодие (отопительный период)</t>
  </si>
  <si>
    <t>2018 год 1 полугодие (межотопительный период)</t>
  </si>
  <si>
    <t xml:space="preserve">Расчет  платы граждан  по услуге   холодное водоснабжение  для жилых помещений с центральным отоплением в  2018 году </t>
  </si>
  <si>
    <t xml:space="preserve">Расчет средневзвешенных нормативов и объемов потребления по  водоотведению для жилых помещений с центральным отоплением  в   2018 году
</t>
  </si>
  <si>
    <t xml:space="preserve">Расчет  объема расходов граждан на оплату  по услуге  водоотведение  для жилых помещений с центральным отоплением в  2018 году
</t>
  </si>
  <si>
    <t>Расчет  объема расходов граждан на оплату по услуге   газоснабжение  в многоквартирных домах (жилых домах ) с централизованным отоплением в 2018 году</t>
  </si>
  <si>
    <t xml:space="preserve"> 2018  год  1 полугодие (отопительный период) </t>
  </si>
  <si>
    <t xml:space="preserve"> 2018  год  1 полугодие (межотопительный период) </t>
  </si>
  <si>
    <t>2018год  2 полугодие (отопительный период)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</si>
</sst>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.00000"/>
    <numFmt numFmtId="174" formatCode="0.0"/>
    <numFmt numFmtId="175" formatCode="#,##0.000"/>
    <numFmt numFmtId="176" formatCode="0.0000"/>
    <numFmt numFmtId="177" formatCode="#,##0.0"/>
    <numFmt numFmtId="178" formatCode="_-* #,##0.0000_р_._-;\-* #,##0.0000_р_._-;_-* \-??_р_._-;_-@_-"/>
    <numFmt numFmtId="179" formatCode="#,##0.00000"/>
    <numFmt numFmtId="180" formatCode="#,##0.0000"/>
    <numFmt numFmtId="181" formatCode="dddd&quot;, &quot;mmmm\ dd&quot;, &quot;yyyy"/>
    <numFmt numFmtId="182" formatCode="0.0000000"/>
    <numFmt numFmtId="183" formatCode="0.000"/>
    <numFmt numFmtId="184" formatCode="0.00000000"/>
    <numFmt numFmtId="185" formatCode="0.000000"/>
    <numFmt numFmtId="186" formatCode="#,##0.000000"/>
    <numFmt numFmtId="187" formatCode="#,##0.0000000"/>
    <numFmt numFmtId="188" formatCode="#,##0.00000000"/>
    <numFmt numFmtId="189" formatCode="#,##0.000000000"/>
    <numFmt numFmtId="190" formatCode="[$-F800]dddd\,\ mmmm\ dd\,\ yyyy"/>
  </numFmts>
  <fonts count="128">
    <font>
      <sz val="10"/>
      <name val="Arial Cyr"/>
      <family val="2"/>
    </font>
    <font>
      <sz val="10"/>
      <name val="Arial"/>
      <family val="0"/>
    </font>
    <font>
      <sz val="10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0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8"/>
      <color indexed="12"/>
      <name val="Times New Roman CE"/>
      <family val="1"/>
    </font>
    <font>
      <b/>
      <i/>
      <sz val="10"/>
      <name val="Times New Roman CE"/>
      <family val="1"/>
    </font>
    <font>
      <sz val="7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color indexed="10"/>
      <name val="Times New Roman CE"/>
      <family val="1"/>
    </font>
    <font>
      <vertAlign val="superscript"/>
      <sz val="9"/>
      <name val="Times New Roman Cyr"/>
      <family val="1"/>
    </font>
    <font>
      <sz val="10"/>
      <color indexed="10"/>
      <name val="Times New Roman CE"/>
      <family val="1"/>
    </font>
    <font>
      <b/>
      <sz val="9"/>
      <name val="Times New Roman Cyr"/>
      <family val="1"/>
    </font>
    <font>
      <sz val="7"/>
      <color indexed="12"/>
      <name val="Times New Roman CE"/>
      <family val="1"/>
    </font>
    <font>
      <b/>
      <sz val="10"/>
      <color indexed="12"/>
      <name val="Times New Roman CE"/>
      <family val="1"/>
    </font>
    <font>
      <sz val="9"/>
      <color indexed="12"/>
      <name val="Times New Roman CE"/>
      <family val="1"/>
    </font>
    <font>
      <sz val="10"/>
      <color indexed="12"/>
      <name val="Times New Roman CE"/>
      <family val="1"/>
    </font>
    <font>
      <sz val="9"/>
      <color indexed="12"/>
      <name val="Times New Roman Cyr"/>
      <family val="1"/>
    </font>
    <font>
      <vertAlign val="superscript"/>
      <sz val="9"/>
      <color indexed="12"/>
      <name val="Times New Roman Cyr"/>
      <family val="1"/>
    </font>
    <font>
      <b/>
      <sz val="9"/>
      <color indexed="12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sz val="12"/>
      <name val="Times New Roman CE"/>
      <family val="1"/>
    </font>
    <font>
      <b/>
      <sz val="10"/>
      <color indexed="10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8"/>
      <name val="Times New Roman"/>
      <family val="1"/>
    </font>
    <font>
      <sz val="7"/>
      <name val="Times New Roman Cyr"/>
      <family val="1"/>
    </font>
    <font>
      <sz val="7"/>
      <name val="Arial Cyr"/>
      <family val="2"/>
    </font>
    <font>
      <b/>
      <sz val="12"/>
      <name val="Times New Roman Cyr"/>
      <family val="1"/>
    </font>
    <font>
      <sz val="8"/>
      <name val="Times New Roman Cyr"/>
      <family val="1"/>
    </font>
    <font>
      <sz val="10"/>
      <color indexed="12"/>
      <name val="Times New Roman Cyr"/>
      <family val="1"/>
    </font>
    <font>
      <i/>
      <sz val="10"/>
      <name val="Times New Roman Cyr"/>
      <family val="1"/>
    </font>
    <font>
      <u val="single"/>
      <sz val="10"/>
      <name val="Times New Roman Cyr"/>
      <family val="1"/>
    </font>
    <font>
      <b/>
      <sz val="12"/>
      <name val="Times New Roman"/>
      <family val="1"/>
    </font>
    <font>
      <sz val="7.5"/>
      <name val="Times New Roman Cyr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b/>
      <sz val="8"/>
      <name val="Times New Roman Cyr"/>
      <family val="1"/>
    </font>
    <font>
      <b/>
      <sz val="7.5"/>
      <name val="Times New Roman Cyr"/>
      <family val="1"/>
    </font>
    <font>
      <b/>
      <sz val="7"/>
      <name val="Times New Roman Cyr"/>
      <family val="1"/>
    </font>
    <font>
      <sz val="6"/>
      <name val="Times New Roman Cyr"/>
      <family val="1"/>
    </font>
    <font>
      <u val="single"/>
      <sz val="12"/>
      <name val="Times New Roman Cyr"/>
      <family val="1"/>
    </font>
    <font>
      <b/>
      <sz val="11"/>
      <name val="Times New Roman Cyr"/>
      <family val="1"/>
    </font>
    <font>
      <sz val="10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4"/>
      <name val="Times New Roman Cyr"/>
      <family val="1"/>
    </font>
    <font>
      <sz val="12"/>
      <name val="Arial Cyr"/>
      <family val="2"/>
    </font>
    <font>
      <sz val="9"/>
      <name val="Arial Cyr"/>
      <family val="2"/>
    </font>
    <font>
      <b/>
      <sz val="12"/>
      <name val="Times New Roman CE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 Cyr"/>
      <family val="1"/>
    </font>
    <font>
      <i/>
      <sz val="11"/>
      <name val="Times New Roman Cyr"/>
      <family val="1"/>
    </font>
    <font>
      <b/>
      <sz val="11"/>
      <color indexed="10"/>
      <name val="Times New Roman Cyr"/>
      <family val="1"/>
    </font>
    <font>
      <b/>
      <i/>
      <sz val="11"/>
      <color indexed="10"/>
      <name val="Times New Roman CYR"/>
      <family val="1"/>
    </font>
    <font>
      <b/>
      <sz val="11"/>
      <name val="Arial Cyr"/>
      <family val="2"/>
    </font>
    <font>
      <b/>
      <i/>
      <sz val="11"/>
      <name val="Times New Roman CYR"/>
      <family val="1"/>
    </font>
    <font>
      <b/>
      <u val="single"/>
      <sz val="11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i/>
      <sz val="10"/>
      <color indexed="12"/>
      <name val="Arial Cyr"/>
      <family val="2"/>
    </font>
    <font>
      <sz val="10"/>
      <color indexed="12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8.5"/>
      <name val="Times New Roman Cyr"/>
      <family val="1"/>
    </font>
    <font>
      <sz val="14"/>
      <name val="Times New Roman"/>
      <family val="1"/>
    </font>
    <font>
      <sz val="7.5"/>
      <name val="Times New Roman"/>
      <family val="1"/>
    </font>
    <font>
      <sz val="8"/>
      <name val="Arial Cyr"/>
      <family val="2"/>
    </font>
    <font>
      <b/>
      <u val="sing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 CE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0" fillId="2" borderId="0" applyNumberFormat="0" applyBorder="0" applyAlignment="0" applyProtection="0"/>
    <xf numFmtId="0" fontId="110" fillId="3" borderId="0" applyNumberFormat="0" applyBorder="0" applyAlignment="0" applyProtection="0"/>
    <xf numFmtId="0" fontId="110" fillId="4" borderId="0" applyNumberFormat="0" applyBorder="0" applyAlignment="0" applyProtection="0"/>
    <xf numFmtId="0" fontId="110" fillId="5" borderId="0" applyNumberFormat="0" applyBorder="0" applyAlignment="0" applyProtection="0"/>
    <xf numFmtId="0" fontId="110" fillId="6" borderId="0" applyNumberFormat="0" applyBorder="0" applyAlignment="0" applyProtection="0"/>
    <xf numFmtId="0" fontId="110" fillId="7" borderId="0" applyNumberFormat="0" applyBorder="0" applyAlignment="0" applyProtection="0"/>
    <xf numFmtId="0" fontId="110" fillId="8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11" fillId="19" borderId="0" applyNumberFormat="0" applyBorder="0" applyAlignment="0" applyProtection="0"/>
    <xf numFmtId="0" fontId="111" fillId="20" borderId="0" applyNumberFormat="0" applyBorder="0" applyAlignment="0" applyProtection="0"/>
    <xf numFmtId="0" fontId="111" fillId="21" borderId="0" applyNumberFormat="0" applyBorder="0" applyAlignment="0" applyProtection="0"/>
    <xf numFmtId="0" fontId="11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2" fillId="25" borderId="1" applyNumberFormat="0" applyAlignment="0" applyProtection="0"/>
    <xf numFmtId="0" fontId="113" fillId="26" borderId="2" applyNumberFormat="0" applyAlignment="0" applyProtection="0"/>
    <xf numFmtId="0" fontId="114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27" borderId="7" applyNumberFormat="0" applyAlignment="0" applyProtection="0"/>
    <xf numFmtId="0" fontId="120" fillId="0" borderId="0" applyNumberFormat="0" applyFill="0" applyBorder="0" applyAlignment="0" applyProtection="0"/>
    <xf numFmtId="0" fontId="121" fillId="28" borderId="0" applyNumberFormat="0" applyBorder="0" applyAlignment="0" applyProtection="0"/>
    <xf numFmtId="0" fontId="122" fillId="29" borderId="0" applyNumberFormat="0" applyBorder="0" applyAlignment="0" applyProtection="0"/>
    <xf numFmtId="0" fontId="12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0" fontId="126" fillId="31" borderId="0" applyNumberFormat="0" applyBorder="0" applyAlignment="0" applyProtection="0"/>
  </cellStyleXfs>
  <cellXfs count="9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73" fontId="2" fillId="0" borderId="17" xfId="0" applyNumberFormat="1" applyFont="1" applyFill="1" applyBorder="1" applyAlignment="1">
      <alignment horizontal="right" vertical="center" wrapText="1"/>
    </xf>
    <xf numFmtId="174" fontId="2" fillId="0" borderId="17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173" fontId="14" fillId="0" borderId="17" xfId="0" applyNumberFormat="1" applyFont="1" applyFill="1" applyBorder="1" applyAlignment="1">
      <alignment horizontal="right" vertical="center" wrapText="1"/>
    </xf>
    <xf numFmtId="175" fontId="13" fillId="0" borderId="17" xfId="0" applyNumberFormat="1" applyFont="1" applyFill="1" applyBorder="1" applyAlignment="1">
      <alignment horizontal="right" vertical="center" wrapText="1"/>
    </xf>
    <xf numFmtId="173" fontId="14" fillId="32" borderId="17" xfId="0" applyNumberFormat="1" applyFont="1" applyFill="1" applyBorder="1" applyAlignment="1">
      <alignment horizontal="right" vertical="center" wrapText="1"/>
    </xf>
    <xf numFmtId="176" fontId="13" fillId="0" borderId="17" xfId="0" applyNumberFormat="1" applyFont="1" applyFill="1" applyBorder="1" applyAlignment="1">
      <alignment horizontal="right" vertical="center" wrapText="1"/>
    </xf>
    <xf numFmtId="175" fontId="13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3" fontId="2" fillId="0" borderId="17" xfId="0" applyNumberFormat="1" applyFont="1" applyFill="1" applyBorder="1" applyAlignment="1">
      <alignment horizontal="center" vertical="center" wrapText="1"/>
    </xf>
    <xf numFmtId="177" fontId="2" fillId="0" borderId="17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176" fontId="14" fillId="0" borderId="17" xfId="0" applyNumberFormat="1" applyFont="1" applyFill="1" applyBorder="1" applyAlignment="1">
      <alignment horizontal="right" vertical="center" wrapText="1"/>
    </xf>
    <xf numFmtId="175" fontId="2" fillId="0" borderId="17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/>
    </xf>
    <xf numFmtId="173" fontId="16" fillId="32" borderId="17" xfId="0" applyNumberFormat="1" applyFont="1" applyFill="1" applyBorder="1" applyAlignment="1">
      <alignment horizontal="right"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175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173" fontId="16" fillId="0" borderId="17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7" xfId="60" applyNumberFormat="1" applyFont="1" applyFill="1" applyBorder="1" applyAlignment="1" applyProtection="1">
      <alignment horizontal="right" vertical="center" wrapText="1"/>
      <protection/>
    </xf>
    <xf numFmtId="1" fontId="2" fillId="0" borderId="17" xfId="0" applyNumberFormat="1" applyFont="1" applyFill="1" applyBorder="1" applyAlignment="1">
      <alignment horizontal="right" vertical="center" wrapText="1"/>
    </xf>
    <xf numFmtId="176" fontId="16" fillId="0" borderId="17" xfId="0" applyNumberFormat="1" applyFont="1" applyFill="1" applyBorder="1" applyAlignment="1">
      <alignment horizontal="right" vertical="center" wrapText="1"/>
    </xf>
    <xf numFmtId="173" fontId="2" fillId="0" borderId="17" xfId="60" applyNumberFormat="1" applyFont="1" applyFill="1" applyBorder="1" applyAlignment="1" applyProtection="1">
      <alignment horizontal="right" vertical="center" wrapText="1"/>
      <protection/>
    </xf>
    <xf numFmtId="174" fontId="13" fillId="0" borderId="17" xfId="0" applyNumberFormat="1" applyFont="1" applyFill="1" applyBorder="1" applyAlignment="1">
      <alignment horizontal="right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177" fontId="13" fillId="0" borderId="17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/>
    </xf>
    <xf numFmtId="176" fontId="16" fillId="32" borderId="17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right" vertical="center" wrapText="1"/>
    </xf>
    <xf numFmtId="179" fontId="14" fillId="0" borderId="17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vertical="center" wrapText="1"/>
    </xf>
    <xf numFmtId="179" fontId="16" fillId="0" borderId="17" xfId="0" applyNumberFormat="1" applyFont="1" applyFill="1" applyBorder="1" applyAlignment="1">
      <alignment horizontal="right" vertical="center" wrapText="1"/>
    </xf>
    <xf numFmtId="175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180" fontId="14" fillId="0" borderId="17" xfId="0" applyNumberFormat="1" applyFont="1" applyFill="1" applyBorder="1" applyAlignment="1">
      <alignment horizontal="right" vertical="center" wrapText="1"/>
    </xf>
    <xf numFmtId="180" fontId="16" fillId="0" borderId="17" xfId="0" applyNumberFormat="1" applyFont="1" applyFill="1" applyBorder="1" applyAlignment="1">
      <alignment horizontal="right" vertical="center" wrapText="1"/>
    </xf>
    <xf numFmtId="175" fontId="2" fillId="0" borderId="11" xfId="0" applyNumberFormat="1" applyFont="1" applyFill="1" applyBorder="1" applyAlignment="1">
      <alignment horizontal="right" vertical="center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80" fontId="16" fillId="0" borderId="17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/>
    </xf>
    <xf numFmtId="173" fontId="13" fillId="0" borderId="17" xfId="0" applyNumberFormat="1" applyFont="1" applyFill="1" applyBorder="1" applyAlignment="1">
      <alignment horizontal="right" vertical="center" wrapText="1"/>
    </xf>
    <xf numFmtId="174" fontId="13" fillId="0" borderId="17" xfId="0" applyNumberFormat="1" applyFont="1" applyFill="1" applyBorder="1" applyAlignment="1">
      <alignment horizontal="right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176" fontId="14" fillId="32" borderId="17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175" fontId="13" fillId="0" borderId="11" xfId="0" applyNumberFormat="1" applyFont="1" applyFill="1" applyBorder="1" applyAlignment="1">
      <alignment/>
    </xf>
    <xf numFmtId="0" fontId="13" fillId="32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/>
    </xf>
    <xf numFmtId="175" fontId="13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 horizontal="center"/>
    </xf>
    <xf numFmtId="176" fontId="13" fillId="0" borderId="17" xfId="0" applyNumberFormat="1" applyFont="1" applyFill="1" applyBorder="1" applyAlignment="1">
      <alignment horizontal="right" wrapText="1"/>
    </xf>
    <xf numFmtId="175" fontId="13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/>
    </xf>
    <xf numFmtId="0" fontId="13" fillId="0" borderId="15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175" fontId="13" fillId="0" borderId="14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right" wrapText="1"/>
    </xf>
    <xf numFmtId="175" fontId="13" fillId="0" borderId="13" xfId="0" applyNumberFormat="1" applyFont="1" applyFill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175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2" fontId="20" fillId="0" borderId="17" xfId="0" applyNumberFormat="1" applyFont="1" applyFill="1" applyBorder="1" applyAlignment="1">
      <alignment horizontal="center" vertical="center" wrapText="1"/>
    </xf>
    <xf numFmtId="173" fontId="21" fillId="0" borderId="17" xfId="0" applyNumberFormat="1" applyFont="1" applyFill="1" applyBorder="1" applyAlignment="1">
      <alignment horizontal="right" vertical="center" wrapText="1"/>
    </xf>
    <xf numFmtId="174" fontId="21" fillId="0" borderId="17" xfId="0" applyNumberFormat="1" applyFont="1" applyFill="1" applyBorder="1" applyAlignment="1">
      <alignment horizontal="right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3" fontId="19" fillId="0" borderId="17" xfId="0" applyNumberFormat="1" applyFont="1" applyFill="1" applyBorder="1" applyAlignment="1">
      <alignment horizontal="right" vertical="center" wrapText="1"/>
    </xf>
    <xf numFmtId="173" fontId="19" fillId="0" borderId="17" xfId="0" applyNumberFormat="1" applyFont="1" applyFill="1" applyBorder="1" applyAlignment="1">
      <alignment horizontal="right" vertical="center" wrapText="1"/>
    </xf>
    <xf numFmtId="175" fontId="19" fillId="0" borderId="17" xfId="0" applyNumberFormat="1" applyFont="1" applyFill="1" applyBorder="1" applyAlignment="1">
      <alignment horizontal="right" vertical="center" wrapText="1"/>
    </xf>
    <xf numFmtId="173" fontId="19" fillId="32" borderId="17" xfId="0" applyNumberFormat="1" applyFont="1" applyFill="1" applyBorder="1" applyAlignment="1">
      <alignment horizontal="right" vertical="center" wrapText="1"/>
    </xf>
    <xf numFmtId="176" fontId="19" fillId="0" borderId="17" xfId="0" applyNumberFormat="1" applyFont="1" applyFill="1" applyBorder="1" applyAlignment="1">
      <alignment horizontal="right" vertical="center" wrapText="1"/>
    </xf>
    <xf numFmtId="175" fontId="19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173" fontId="21" fillId="0" borderId="17" xfId="0" applyNumberFormat="1" applyFont="1" applyFill="1" applyBorder="1" applyAlignment="1">
      <alignment horizontal="center" vertical="center" wrapText="1"/>
    </xf>
    <xf numFmtId="177" fontId="21" fillId="0" borderId="17" xfId="0" applyNumberFormat="1" applyFont="1" applyFill="1" applyBorder="1" applyAlignment="1">
      <alignment horizontal="right" vertical="center" wrapText="1"/>
    </xf>
    <xf numFmtId="3" fontId="21" fillId="0" borderId="17" xfId="0" applyNumberFormat="1" applyFont="1" applyFill="1" applyBorder="1" applyAlignment="1">
      <alignment horizontal="right" vertical="center" wrapText="1"/>
    </xf>
    <xf numFmtId="175" fontId="21" fillId="0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/>
    </xf>
    <xf numFmtId="173" fontId="21" fillId="32" borderId="17" xfId="0" applyNumberFormat="1" applyFont="1" applyFill="1" applyBorder="1" applyAlignment="1">
      <alignment horizontal="right" vertical="center" wrapText="1"/>
    </xf>
    <xf numFmtId="176" fontId="21" fillId="0" borderId="17" xfId="0" applyNumberFormat="1" applyFont="1" applyFill="1" applyBorder="1" applyAlignment="1">
      <alignment horizontal="right" vertical="center" wrapText="1"/>
    </xf>
    <xf numFmtId="175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center" vertical="center"/>
    </xf>
    <xf numFmtId="173" fontId="21" fillId="0" borderId="17" xfId="0" applyNumberFormat="1" applyFont="1" applyFill="1" applyBorder="1" applyAlignment="1">
      <alignment horizontal="right" vertical="center" wrapText="1"/>
    </xf>
    <xf numFmtId="174" fontId="19" fillId="0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177" fontId="19" fillId="0" borderId="17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76" fontId="21" fillId="32" borderId="17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vertical="center" wrapText="1"/>
    </xf>
    <xf numFmtId="1" fontId="21" fillId="0" borderId="17" xfId="0" applyNumberFormat="1" applyFont="1" applyFill="1" applyBorder="1" applyAlignment="1">
      <alignment horizontal="right" vertical="center" wrapText="1"/>
    </xf>
    <xf numFmtId="175" fontId="21" fillId="0" borderId="17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175" fontId="21" fillId="0" borderId="11" xfId="0" applyNumberFormat="1" applyFont="1" applyFill="1" applyBorder="1" applyAlignment="1">
      <alignment horizontal="right" vertical="center" wrapText="1"/>
    </xf>
    <xf numFmtId="176" fontId="21" fillId="0" borderId="17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173" fontId="19" fillId="0" borderId="17" xfId="0" applyNumberFormat="1" applyFont="1" applyFill="1" applyBorder="1" applyAlignment="1">
      <alignment horizontal="right" vertical="center" wrapText="1"/>
    </xf>
    <xf numFmtId="174" fontId="19" fillId="0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176" fontId="19" fillId="32" borderId="17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175" fontId="19" fillId="0" borderId="11" xfId="0" applyNumberFormat="1" applyFont="1" applyFill="1" applyBorder="1" applyAlignment="1">
      <alignment/>
    </xf>
    <xf numFmtId="0" fontId="19" fillId="32" borderId="11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175" fontId="19" fillId="32" borderId="11" xfId="0" applyNumberFormat="1" applyFont="1" applyFill="1" applyBorder="1" applyAlignment="1">
      <alignment/>
    </xf>
    <xf numFmtId="176" fontId="19" fillId="0" borderId="11" xfId="0" applyNumberFormat="1" applyFont="1" applyFill="1" applyBorder="1" applyAlignment="1">
      <alignment horizontal="center"/>
    </xf>
    <xf numFmtId="176" fontId="19" fillId="0" borderId="17" xfId="0" applyNumberFormat="1" applyFont="1" applyFill="1" applyBorder="1" applyAlignment="1">
      <alignment horizontal="right" wrapText="1"/>
    </xf>
    <xf numFmtId="175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73" fontId="21" fillId="0" borderId="17" xfId="6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32" borderId="0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75" fontId="13" fillId="0" borderId="13" xfId="0" applyNumberFormat="1" applyFont="1" applyFill="1" applyBorder="1" applyAlignment="1">
      <alignment/>
    </xf>
    <xf numFmtId="0" fontId="13" fillId="32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28" fillId="0" borderId="0" xfId="0" applyFont="1" applyAlignment="1">
      <alignment/>
    </xf>
    <xf numFmtId="0" fontId="26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176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174" fontId="26" fillId="0" borderId="11" xfId="0" applyNumberFormat="1" applyFont="1" applyFill="1" applyBorder="1" applyAlignment="1">
      <alignment/>
    </xf>
    <xf numFmtId="173" fontId="26" fillId="0" borderId="11" xfId="0" applyNumberFormat="1" applyFont="1" applyFill="1" applyBorder="1" applyAlignment="1">
      <alignment/>
    </xf>
    <xf numFmtId="0" fontId="30" fillId="0" borderId="11" xfId="0" applyFont="1" applyBorder="1" applyAlignment="1">
      <alignment horizontal="left"/>
    </xf>
    <xf numFmtId="182" fontId="30" fillId="0" borderId="11" xfId="0" applyNumberFormat="1" applyFont="1" applyBorder="1" applyAlignment="1">
      <alignment horizontal="right"/>
    </xf>
    <xf numFmtId="0" fontId="29" fillId="0" borderId="11" xfId="0" applyFont="1" applyFill="1" applyBorder="1" applyAlignment="1">
      <alignment/>
    </xf>
    <xf numFmtId="2" fontId="30" fillId="0" borderId="11" xfId="0" applyNumberFormat="1" applyFont="1" applyBorder="1" applyAlignment="1">
      <alignment/>
    </xf>
    <xf numFmtId="1" fontId="30" fillId="0" borderId="11" xfId="0" applyNumberFormat="1" applyFont="1" applyBorder="1" applyAlignment="1">
      <alignment/>
    </xf>
    <xf numFmtId="176" fontId="30" fillId="0" borderId="11" xfId="0" applyNumberFormat="1" applyFont="1" applyBorder="1" applyAlignment="1">
      <alignment/>
    </xf>
    <xf numFmtId="0" fontId="30" fillId="0" borderId="0" xfId="0" applyFont="1" applyAlignment="1">
      <alignment/>
    </xf>
    <xf numFmtId="0" fontId="6" fillId="0" borderId="0" xfId="0" applyFont="1" applyAlignment="1">
      <alignment vertical="top"/>
    </xf>
    <xf numFmtId="0" fontId="30" fillId="32" borderId="0" xfId="0" applyFont="1" applyFill="1" applyAlignment="1">
      <alignment vertical="top"/>
    </xf>
    <xf numFmtId="0" fontId="31" fillId="0" borderId="20" xfId="0" applyFont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/>
    </xf>
    <xf numFmtId="0" fontId="30" fillId="0" borderId="13" xfId="0" applyFont="1" applyBorder="1" applyAlignment="1">
      <alignment/>
    </xf>
    <xf numFmtId="173" fontId="30" fillId="0" borderId="11" xfId="0" applyNumberFormat="1" applyFont="1" applyBorder="1" applyAlignment="1">
      <alignment horizontal="right"/>
    </xf>
    <xf numFmtId="173" fontId="29" fillId="0" borderId="11" xfId="0" applyNumberFormat="1" applyFont="1" applyFill="1" applyBorder="1" applyAlignment="1">
      <alignment/>
    </xf>
    <xf numFmtId="173" fontId="30" fillId="0" borderId="11" xfId="0" applyNumberFormat="1" applyFont="1" applyBorder="1" applyAlignment="1">
      <alignment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/>
    </xf>
    <xf numFmtId="173" fontId="30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2" fontId="30" fillId="0" borderId="0" xfId="0" applyNumberFormat="1" applyFont="1" applyBorder="1" applyAlignment="1">
      <alignment/>
    </xf>
    <xf numFmtId="1" fontId="30" fillId="0" borderId="0" xfId="0" applyNumberFormat="1" applyFont="1" applyBorder="1" applyAlignment="1">
      <alignment/>
    </xf>
    <xf numFmtId="173" fontId="29" fillId="0" borderId="0" xfId="0" applyNumberFormat="1" applyFont="1" applyFill="1" applyBorder="1" applyAlignment="1">
      <alignment/>
    </xf>
    <xf numFmtId="173" fontId="30" fillId="0" borderId="0" xfId="0" applyNumberFormat="1" applyFont="1" applyBorder="1" applyAlignment="1">
      <alignment/>
    </xf>
    <xf numFmtId="0" fontId="30" fillId="35" borderId="0" xfId="0" applyFont="1" applyFill="1" applyAlignment="1">
      <alignment vertical="top"/>
    </xf>
    <xf numFmtId="0" fontId="3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horizontal="right"/>
    </xf>
    <xf numFmtId="0" fontId="26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6" fillId="32" borderId="0" xfId="0" applyFont="1" applyFill="1" applyAlignment="1">
      <alignment/>
    </xf>
    <xf numFmtId="0" fontId="26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25" fillId="0" borderId="0" xfId="0" applyFont="1" applyBorder="1" applyAlignment="1">
      <alignment horizontal="center" vertical="center"/>
    </xf>
    <xf numFmtId="0" fontId="34" fillId="3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183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3" fontId="6" fillId="0" borderId="11" xfId="0" applyNumberFormat="1" applyFont="1" applyFill="1" applyBorder="1" applyAlignment="1">
      <alignment/>
    </xf>
    <xf numFmtId="183" fontId="6" fillId="0" borderId="11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73" fontId="30" fillId="0" borderId="21" xfId="0" applyNumberFormat="1" applyFont="1" applyFill="1" applyBorder="1" applyAlignment="1">
      <alignment horizontal="right"/>
    </xf>
    <xf numFmtId="2" fontId="30" fillId="0" borderId="11" xfId="0" applyNumberFormat="1" applyFont="1" applyBorder="1" applyAlignment="1">
      <alignment horizontal="center"/>
    </xf>
    <xf numFmtId="173" fontId="30" fillId="0" borderId="11" xfId="0" applyNumberFormat="1" applyFont="1" applyFill="1" applyBorder="1" applyAlignment="1">
      <alignment/>
    </xf>
    <xf numFmtId="183" fontId="30" fillId="0" borderId="11" xfId="0" applyNumberFormat="1" applyFont="1" applyFill="1" applyBorder="1" applyAlignment="1">
      <alignment/>
    </xf>
    <xf numFmtId="176" fontId="30" fillId="0" borderId="21" xfId="0" applyNumberFormat="1" applyFont="1" applyFill="1" applyBorder="1" applyAlignment="1">
      <alignment horizontal="right"/>
    </xf>
    <xf numFmtId="0" fontId="38" fillId="0" borderId="0" xfId="0" applyFont="1" applyAlignment="1">
      <alignment/>
    </xf>
    <xf numFmtId="0" fontId="34" fillId="35" borderId="22" xfId="0" applyFont="1" applyFill="1" applyBorder="1" applyAlignment="1">
      <alignment vertical="center"/>
    </xf>
    <xf numFmtId="4" fontId="6" fillId="0" borderId="11" xfId="0" applyNumberFormat="1" applyFont="1" applyBorder="1" applyAlignment="1">
      <alignment/>
    </xf>
    <xf numFmtId="173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Border="1" applyAlignment="1">
      <alignment horizontal="center"/>
    </xf>
    <xf numFmtId="173" fontId="30" fillId="0" borderId="0" xfId="0" applyNumberFormat="1" applyFont="1" applyFill="1" applyBorder="1" applyAlignment="1">
      <alignment/>
    </xf>
    <xf numFmtId="183" fontId="30" fillId="0" borderId="0" xfId="0" applyNumberFormat="1" applyFont="1" applyFill="1" applyBorder="1" applyAlignment="1">
      <alignment/>
    </xf>
    <xf numFmtId="176" fontId="30" fillId="0" borderId="0" xfId="0" applyNumberFormat="1" applyFont="1" applyFill="1" applyBorder="1" applyAlignment="1">
      <alignment horizontal="right"/>
    </xf>
    <xf numFmtId="0" fontId="26" fillId="32" borderId="10" xfId="0" applyFont="1" applyFill="1" applyBorder="1" applyAlignment="1">
      <alignment/>
    </xf>
    <xf numFmtId="0" fontId="30" fillId="32" borderId="0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41" fillId="0" borderId="15" xfId="0" applyFont="1" applyBorder="1" applyAlignment="1">
      <alignment vertical="center" wrapText="1"/>
    </xf>
    <xf numFmtId="0" fontId="42" fillId="32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1" fontId="26" fillId="0" borderId="11" xfId="0" applyNumberFormat="1" applyFont="1" applyFill="1" applyBorder="1" applyAlignment="1">
      <alignment horizontal="center"/>
    </xf>
    <xf numFmtId="173" fontId="26" fillId="0" borderId="11" xfId="0" applyNumberFormat="1" applyFont="1" applyFill="1" applyBorder="1" applyAlignment="1">
      <alignment horizontal="right" vertical="center"/>
    </xf>
    <xf numFmtId="174" fontId="26" fillId="0" borderId="11" xfId="0" applyNumberFormat="1" applyFont="1" applyFill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83" fontId="26" fillId="0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35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173" fontId="26" fillId="36" borderId="11" xfId="0" applyNumberFormat="1" applyFont="1" applyFill="1" applyBorder="1" applyAlignment="1">
      <alignment horizontal="center" vertical="center" wrapText="1"/>
    </xf>
    <xf numFmtId="176" fontId="26" fillId="36" borderId="11" xfId="0" applyNumberFormat="1" applyFont="1" applyFill="1" applyBorder="1" applyAlignment="1">
      <alignment/>
    </xf>
    <xf numFmtId="173" fontId="26" fillId="36" borderId="11" xfId="0" applyNumberFormat="1" applyFont="1" applyFill="1" applyBorder="1" applyAlignment="1">
      <alignment/>
    </xf>
    <xf numFmtId="0" fontId="26" fillId="36" borderId="11" xfId="0" applyFont="1" applyFill="1" applyBorder="1" applyAlignment="1">
      <alignment horizontal="center"/>
    </xf>
    <xf numFmtId="1" fontId="26" fillId="36" borderId="11" xfId="0" applyNumberFormat="1" applyFont="1" applyFill="1" applyBorder="1" applyAlignment="1">
      <alignment horizontal="center"/>
    </xf>
    <xf numFmtId="173" fontId="26" fillId="36" borderId="11" xfId="0" applyNumberFormat="1" applyFont="1" applyFill="1" applyBorder="1" applyAlignment="1">
      <alignment horizontal="right" vertical="center"/>
    </xf>
    <xf numFmtId="0" fontId="26" fillId="36" borderId="11" xfId="0" applyFont="1" applyFill="1" applyBorder="1" applyAlignment="1">
      <alignment horizontal="center" vertical="center" wrapText="1"/>
    </xf>
    <xf numFmtId="1" fontId="29" fillId="34" borderId="11" xfId="0" applyNumberFormat="1" applyFont="1" applyFill="1" applyBorder="1" applyAlignment="1">
      <alignment horizontal="center"/>
    </xf>
    <xf numFmtId="173" fontId="26" fillId="34" borderId="11" xfId="0" applyNumberFormat="1" applyFont="1" applyFill="1" applyBorder="1" applyAlignment="1">
      <alignment horizontal="right" vertical="center"/>
    </xf>
    <xf numFmtId="0" fontId="6" fillId="32" borderId="15" xfId="0" applyFont="1" applyFill="1" applyBorder="1" applyAlignment="1">
      <alignment horizontal="center" vertical="top"/>
    </xf>
    <xf numFmtId="0" fontId="6" fillId="32" borderId="14" xfId="0" applyFont="1" applyFill="1" applyBorder="1" applyAlignment="1">
      <alignment horizontal="center" vertical="top"/>
    </xf>
    <xf numFmtId="0" fontId="35" fillId="32" borderId="13" xfId="0" applyFont="1" applyFill="1" applyBorder="1" applyAlignment="1">
      <alignment horizontal="left"/>
    </xf>
    <xf numFmtId="176" fontId="26" fillId="32" borderId="11" xfId="0" applyNumberFormat="1" applyFont="1" applyFill="1" applyBorder="1" applyAlignment="1">
      <alignment/>
    </xf>
    <xf numFmtId="173" fontId="26" fillId="32" borderId="11" xfId="0" applyNumberFormat="1" applyFont="1" applyFill="1" applyBorder="1" applyAlignment="1">
      <alignment/>
    </xf>
    <xf numFmtId="0" fontId="26" fillId="32" borderId="11" xfId="0" applyFont="1" applyFill="1" applyBorder="1" applyAlignment="1">
      <alignment horizontal="center"/>
    </xf>
    <xf numFmtId="1" fontId="26" fillId="32" borderId="11" xfId="0" applyNumberFormat="1" applyFont="1" applyFill="1" applyBorder="1" applyAlignment="1">
      <alignment horizontal="center"/>
    </xf>
    <xf numFmtId="183" fontId="26" fillId="32" borderId="11" xfId="0" applyNumberFormat="1" applyFont="1" applyFill="1" applyBorder="1" applyAlignment="1">
      <alignment horizontal="center"/>
    </xf>
    <xf numFmtId="173" fontId="26" fillId="32" borderId="11" xfId="0" applyNumberFormat="1" applyFont="1" applyFill="1" applyBorder="1" applyAlignment="1">
      <alignment horizontal="right" vertical="center"/>
    </xf>
    <xf numFmtId="0" fontId="0" fillId="32" borderId="0" xfId="0" applyFill="1" applyAlignment="1">
      <alignment/>
    </xf>
    <xf numFmtId="0" fontId="29" fillId="0" borderId="11" xfId="0" applyFont="1" applyBorder="1" applyAlignment="1">
      <alignment horizontal="right"/>
    </xf>
    <xf numFmtId="173" fontId="29" fillId="0" borderId="11" xfId="0" applyNumberFormat="1" applyFont="1" applyBorder="1" applyAlignment="1">
      <alignment horizontal="right"/>
    </xf>
    <xf numFmtId="0" fontId="29" fillId="0" borderId="11" xfId="0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/>
    </xf>
    <xf numFmtId="176" fontId="29" fillId="0" borderId="11" xfId="0" applyNumberFormat="1" applyFont="1" applyBorder="1" applyAlignment="1">
      <alignment horizontal="right"/>
    </xf>
    <xf numFmtId="1" fontId="29" fillId="0" borderId="11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176" fontId="26" fillId="34" borderId="11" xfId="0" applyNumberFormat="1" applyFont="1" applyFill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34" fillId="32" borderId="0" xfId="0" applyFont="1" applyFill="1" applyBorder="1" applyAlignment="1">
      <alignment vertical="center"/>
    </xf>
    <xf numFmtId="0" fontId="30" fillId="0" borderId="0" xfId="0" applyFont="1" applyBorder="1" applyAlignment="1">
      <alignment wrapText="1"/>
    </xf>
    <xf numFmtId="2" fontId="29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9" fillId="0" borderId="0" xfId="0" applyNumberFormat="1" applyFont="1" applyBorder="1" applyAlignment="1">
      <alignment horizontal="right"/>
    </xf>
    <xf numFmtId="0" fontId="6" fillId="32" borderId="0" xfId="0" applyFont="1" applyFill="1" applyAlignment="1">
      <alignment/>
    </xf>
    <xf numFmtId="0" fontId="30" fillId="32" borderId="0" xfId="0" applyFont="1" applyFill="1" applyAlignment="1">
      <alignment/>
    </xf>
    <xf numFmtId="0" fontId="6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top"/>
    </xf>
    <xf numFmtId="0" fontId="32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175" fontId="6" fillId="0" borderId="12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179" fontId="6" fillId="0" borderId="11" xfId="0" applyNumberFormat="1" applyFont="1" applyBorder="1" applyAlignment="1">
      <alignment vertical="center"/>
    </xf>
    <xf numFmtId="183" fontId="6" fillId="0" borderId="11" xfId="0" applyNumberFormat="1" applyFont="1" applyBorder="1" applyAlignment="1">
      <alignment vertical="center"/>
    </xf>
    <xf numFmtId="183" fontId="30" fillId="0" borderId="11" xfId="0" applyNumberFormat="1" applyFont="1" applyBorder="1" applyAlignment="1">
      <alignment vertical="center"/>
    </xf>
    <xf numFmtId="0" fontId="47" fillId="0" borderId="0" xfId="0" applyFont="1" applyBorder="1" applyAlignment="1">
      <alignment/>
    </xf>
    <xf numFmtId="175" fontId="6" fillId="0" borderId="12" xfId="0" applyNumberFormat="1" applyFont="1" applyBorder="1" applyAlignment="1">
      <alignment horizontal="center" vertical="center" wrapText="1"/>
    </xf>
    <xf numFmtId="179" fontId="30" fillId="0" borderId="11" xfId="0" applyNumberFormat="1" applyFont="1" applyFill="1" applyBorder="1" applyAlignment="1">
      <alignment/>
    </xf>
    <xf numFmtId="179" fontId="30" fillId="0" borderId="11" xfId="0" applyNumberFormat="1" applyFont="1" applyBorder="1" applyAlignment="1">
      <alignment/>
    </xf>
    <xf numFmtId="175" fontId="30" fillId="0" borderId="11" xfId="0" applyNumberFormat="1" applyFont="1" applyBorder="1" applyAlignment="1">
      <alignment/>
    </xf>
    <xf numFmtId="0" fontId="34" fillId="35" borderId="0" xfId="0" applyFont="1" applyFill="1" applyBorder="1" applyAlignment="1">
      <alignment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34" fillId="0" borderId="0" xfId="0" applyFont="1" applyBorder="1" applyAlignment="1">
      <alignment/>
    </xf>
    <xf numFmtId="179" fontId="6" fillId="0" borderId="11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30" fillId="0" borderId="11" xfId="0" applyNumberFormat="1" applyFont="1" applyFill="1" applyBorder="1" applyAlignment="1">
      <alignment vertical="center"/>
    </xf>
    <xf numFmtId="183" fontId="50" fillId="0" borderId="11" xfId="0" applyNumberFormat="1" applyFont="1" applyFill="1" applyBorder="1" applyAlignment="1">
      <alignment vertical="center"/>
    </xf>
    <xf numFmtId="175" fontId="30" fillId="0" borderId="11" xfId="0" applyNumberFormat="1" applyFont="1" applyFill="1" applyBorder="1" applyAlignment="1">
      <alignment/>
    </xf>
    <xf numFmtId="0" fontId="49" fillId="32" borderId="0" xfId="0" applyFont="1" applyFill="1" applyAlignment="1">
      <alignment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183" fontId="28" fillId="0" borderId="11" xfId="0" applyNumberFormat="1" applyFont="1" applyFill="1" applyBorder="1" applyAlignment="1">
      <alignment vertical="center"/>
    </xf>
    <xf numFmtId="175" fontId="30" fillId="0" borderId="0" xfId="0" applyNumberFormat="1" applyFont="1" applyFill="1" applyBorder="1" applyAlignment="1">
      <alignment/>
    </xf>
    <xf numFmtId="0" fontId="34" fillId="35" borderId="0" xfId="0" applyFont="1" applyFill="1" applyAlignment="1">
      <alignment/>
    </xf>
    <xf numFmtId="0" fontId="25" fillId="35" borderId="0" xfId="0" applyFont="1" applyFill="1" applyAlignment="1">
      <alignment/>
    </xf>
    <xf numFmtId="175" fontId="6" fillId="0" borderId="11" xfId="0" applyNumberFormat="1" applyFont="1" applyBorder="1" applyAlignment="1">
      <alignment horizontal="center"/>
    </xf>
    <xf numFmtId="179" fontId="30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51" fillId="0" borderId="0" xfId="0" applyFont="1" applyAlignment="1">
      <alignment/>
    </xf>
    <xf numFmtId="0" fontId="51" fillId="32" borderId="0" xfId="0" applyFont="1" applyFill="1" applyAlignment="1">
      <alignment/>
    </xf>
    <xf numFmtId="0" fontId="39" fillId="0" borderId="0" xfId="0" applyFont="1" applyAlignment="1">
      <alignment horizontal="center" wrapText="1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7" fillId="32" borderId="0" xfId="0" applyFont="1" applyFill="1" applyAlignment="1">
      <alignment/>
    </xf>
    <xf numFmtId="0" fontId="42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42" fillId="32" borderId="11" xfId="0" applyFont="1" applyFill="1" applyBorder="1" applyAlignment="1">
      <alignment horizontal="center" vertical="center"/>
    </xf>
    <xf numFmtId="0" fontId="58" fillId="32" borderId="0" xfId="0" applyFont="1" applyFill="1" applyAlignment="1">
      <alignment/>
    </xf>
    <xf numFmtId="0" fontId="31" fillId="32" borderId="24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0" xfId="0" applyFont="1" applyFill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173" fontId="26" fillId="32" borderId="11" xfId="0" applyNumberFormat="1" applyFont="1" applyFill="1" applyBorder="1" applyAlignment="1">
      <alignment horizontal="center" vertical="center" wrapText="1"/>
    </xf>
    <xf numFmtId="183" fontId="26" fillId="32" borderId="11" xfId="0" applyNumberFormat="1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top"/>
    </xf>
    <xf numFmtId="0" fontId="26" fillId="32" borderId="15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173" fontId="26" fillId="34" borderId="11" xfId="0" applyNumberFormat="1" applyFont="1" applyFill="1" applyBorder="1" applyAlignment="1">
      <alignment horizontal="center" vertical="center" wrapText="1"/>
    </xf>
    <xf numFmtId="2" fontId="26" fillId="34" borderId="11" xfId="0" applyNumberFormat="1" applyFont="1" applyFill="1" applyBorder="1" applyAlignment="1">
      <alignment horizontal="center" vertical="center" wrapText="1"/>
    </xf>
    <xf numFmtId="183" fontId="6" fillId="32" borderId="11" xfId="0" applyNumberFormat="1" applyFont="1" applyFill="1" applyBorder="1" applyAlignment="1">
      <alignment/>
    </xf>
    <xf numFmtId="0" fontId="13" fillId="32" borderId="11" xfId="0" applyFont="1" applyFill="1" applyBorder="1" applyAlignment="1">
      <alignment/>
    </xf>
    <xf numFmtId="183" fontId="43" fillId="32" borderId="11" xfId="0" applyNumberFormat="1" applyFont="1" applyFill="1" applyBorder="1" applyAlignment="1">
      <alignment vertical="center"/>
    </xf>
    <xf numFmtId="173" fontId="30" fillId="32" borderId="11" xfId="0" applyNumberFormat="1" applyFont="1" applyFill="1" applyBorder="1" applyAlignment="1">
      <alignment vertical="center"/>
    </xf>
    <xf numFmtId="0" fontId="29" fillId="32" borderId="11" xfId="0" applyFont="1" applyFill="1" applyBorder="1" applyAlignment="1">
      <alignment horizontal="center" vertical="center" wrapText="1"/>
    </xf>
    <xf numFmtId="173" fontId="43" fillId="32" borderId="11" xfId="0" applyNumberFormat="1" applyFont="1" applyFill="1" applyBorder="1" applyAlignment="1">
      <alignment vertical="center"/>
    </xf>
    <xf numFmtId="0" fontId="43" fillId="32" borderId="0" xfId="0" applyFont="1" applyFill="1" applyAlignment="1">
      <alignment/>
    </xf>
    <xf numFmtId="0" fontId="30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/>
    </xf>
    <xf numFmtId="0" fontId="29" fillId="32" borderId="0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/>
    </xf>
    <xf numFmtId="173" fontId="29" fillId="32" borderId="0" xfId="0" applyNumberFormat="1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/>
    </xf>
    <xf numFmtId="0" fontId="54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54" fillId="32" borderId="0" xfId="0" applyFont="1" applyFill="1" applyAlignment="1">
      <alignment horizontal="center"/>
    </xf>
    <xf numFmtId="0" fontId="54" fillId="32" borderId="0" xfId="0" applyFont="1" applyFill="1" applyBorder="1" applyAlignment="1">
      <alignment/>
    </xf>
    <xf numFmtId="0" fontId="55" fillId="32" borderId="0" xfId="0" applyFont="1" applyFill="1" applyAlignment="1">
      <alignment/>
    </xf>
    <xf numFmtId="0" fontId="6" fillId="32" borderId="23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32" borderId="20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32" borderId="11" xfId="0" applyFont="1" applyFill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58" fillId="0" borderId="0" xfId="0" applyFont="1" applyAlignment="1">
      <alignment/>
    </xf>
    <xf numFmtId="0" fontId="31" fillId="0" borderId="2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173" fontId="26" fillId="0" borderId="11" xfId="0" applyNumberFormat="1" applyFont="1" applyBorder="1" applyAlignment="1">
      <alignment horizontal="center" vertical="center" wrapText="1"/>
    </xf>
    <xf numFmtId="183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183" fontId="43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 vertical="center" wrapText="1"/>
    </xf>
    <xf numFmtId="183" fontId="43" fillId="0" borderId="11" xfId="0" applyNumberFormat="1" applyFont="1" applyBorder="1" applyAlignment="1">
      <alignment/>
    </xf>
    <xf numFmtId="1" fontId="43" fillId="0" borderId="11" xfId="0" applyNumberFormat="1" applyFont="1" applyBorder="1" applyAlignment="1">
      <alignment/>
    </xf>
    <xf numFmtId="173" fontId="29" fillId="32" borderId="11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173" fontId="29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83" fontId="43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/>
    </xf>
    <xf numFmtId="173" fontId="2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61" fillId="0" borderId="0" xfId="0" applyFont="1" applyFill="1" applyAlignment="1">
      <alignment vertical="top" wrapText="1"/>
    </xf>
    <xf numFmtId="0" fontId="54" fillId="32" borderId="0" xfId="0" applyFont="1" applyFill="1" applyAlignment="1">
      <alignment/>
    </xf>
    <xf numFmtId="0" fontId="61" fillId="32" borderId="0" xfId="0" applyFont="1" applyFill="1" applyAlignment="1">
      <alignment vertical="top" wrapText="1"/>
    </xf>
    <xf numFmtId="0" fontId="60" fillId="0" borderId="0" xfId="0" applyFont="1" applyBorder="1" applyAlignment="1">
      <alignment horizontal="center"/>
    </xf>
    <xf numFmtId="0" fontId="60" fillId="37" borderId="11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63" fillId="37" borderId="11" xfId="0" applyFont="1" applyFill="1" applyBorder="1" applyAlignment="1">
      <alignment horizontal="center" vertical="top" wrapText="1"/>
    </xf>
    <xf numFmtId="0" fontId="54" fillId="0" borderId="2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183" fontId="54" fillId="0" borderId="11" xfId="0" applyNumberFormat="1" applyFont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/>
    </xf>
    <xf numFmtId="173" fontId="54" fillId="0" borderId="11" xfId="0" applyNumberFormat="1" applyFont="1" applyFill="1" applyBorder="1" applyAlignment="1">
      <alignment horizontal="center" vertical="center" wrapText="1"/>
    </xf>
    <xf numFmtId="183" fontId="60" fillId="0" borderId="11" xfId="0" applyNumberFormat="1" applyFont="1" applyBorder="1" applyAlignment="1">
      <alignment/>
    </xf>
    <xf numFmtId="0" fontId="60" fillId="0" borderId="11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183" fontId="60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/>
    </xf>
    <xf numFmtId="173" fontId="61" fillId="0" borderId="11" xfId="0" applyNumberFormat="1" applyFont="1" applyBorder="1" applyAlignment="1">
      <alignment horizontal="center" vertical="center" wrapText="1"/>
    </xf>
    <xf numFmtId="173" fontId="67" fillId="0" borderId="11" xfId="0" applyNumberFormat="1" applyFont="1" applyBorder="1" applyAlignment="1">
      <alignment/>
    </xf>
    <xf numFmtId="0" fontId="67" fillId="0" borderId="0" xfId="0" applyFont="1" applyAlignment="1">
      <alignment/>
    </xf>
    <xf numFmtId="0" fontId="12" fillId="0" borderId="0" xfId="0" applyFont="1" applyBorder="1" applyAlignment="1">
      <alignment/>
    </xf>
    <xf numFmtId="0" fontId="60" fillId="0" borderId="0" xfId="0" applyFont="1" applyAlignment="1">
      <alignment wrapText="1"/>
    </xf>
    <xf numFmtId="0" fontId="60" fillId="0" borderId="12" xfId="0" applyFont="1" applyFill="1" applyBorder="1" applyAlignment="1">
      <alignment vertical="top" wrapText="1"/>
    </xf>
    <xf numFmtId="2" fontId="60" fillId="0" borderId="0" xfId="0" applyNumberFormat="1" applyFont="1" applyBorder="1" applyAlignment="1">
      <alignment horizontal="center"/>
    </xf>
    <xf numFmtId="0" fontId="60" fillId="0" borderId="0" xfId="0" applyFont="1" applyFill="1" applyBorder="1" applyAlignment="1">
      <alignment vertical="top" wrapText="1"/>
    </xf>
    <xf numFmtId="0" fontId="61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83" fontId="49" fillId="0" borderId="11" xfId="0" applyNumberFormat="1" applyFont="1" applyBorder="1" applyAlignment="1">
      <alignment/>
    </xf>
    <xf numFmtId="0" fontId="39" fillId="0" borderId="0" xfId="0" applyFont="1" applyFill="1" applyAlignment="1">
      <alignment horizontal="center" wrapText="1"/>
    </xf>
    <xf numFmtId="0" fontId="61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3" fontId="26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11" xfId="0" applyFont="1" applyBorder="1" applyAlignment="1">
      <alignment/>
    </xf>
    <xf numFmtId="173" fontId="0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0" fontId="25" fillId="0" borderId="11" xfId="0" applyFont="1" applyBorder="1" applyAlignment="1">
      <alignment/>
    </xf>
    <xf numFmtId="173" fontId="25" fillId="0" borderId="11" xfId="0" applyNumberFormat="1" applyFont="1" applyBorder="1" applyAlignment="1">
      <alignment/>
    </xf>
    <xf numFmtId="183" fontId="57" fillId="0" borderId="11" xfId="0" applyNumberFormat="1" applyFont="1" applyBorder="1" applyAlignment="1">
      <alignment/>
    </xf>
    <xf numFmtId="1" fontId="57" fillId="0" borderId="11" xfId="0" applyNumberFormat="1" applyFont="1" applyBorder="1" applyAlignment="1">
      <alignment/>
    </xf>
    <xf numFmtId="173" fontId="57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5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183" fontId="29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35" fillId="32" borderId="11" xfId="0" applyFont="1" applyFill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1" fontId="35" fillId="0" borderId="11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183" fontId="6" fillId="0" borderId="11" xfId="0" applyNumberFormat="1" applyFont="1" applyBorder="1" applyAlignment="1">
      <alignment horizontal="left"/>
    </xf>
    <xf numFmtId="183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left" vertical="top"/>
    </xf>
    <xf numFmtId="183" fontId="29" fillId="0" borderId="11" xfId="0" applyNumberFormat="1" applyFont="1" applyBorder="1" applyAlignment="1">
      <alignment horizontal="center" vertical="center" wrapText="1"/>
    </xf>
    <xf numFmtId="173" fontId="43" fillId="0" borderId="11" xfId="0" applyNumberFormat="1" applyFont="1" applyBorder="1" applyAlignment="1">
      <alignment/>
    </xf>
    <xf numFmtId="173" fontId="29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0" fontId="6" fillId="0" borderId="12" xfId="0" applyFont="1" applyFill="1" applyBorder="1" applyAlignment="1">
      <alignment vertical="top" wrapText="1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1" fillId="32" borderId="0" xfId="0" applyFont="1" applyFill="1" applyAlignment="1">
      <alignment/>
    </xf>
    <xf numFmtId="173" fontId="26" fillId="0" borderId="11" xfId="0" applyNumberFormat="1" applyFont="1" applyFill="1" applyBorder="1" applyAlignment="1">
      <alignment horizontal="center" vertical="top" wrapText="1"/>
    </xf>
    <xf numFmtId="183" fontId="6" fillId="0" borderId="11" xfId="0" applyNumberFormat="1" applyFont="1" applyBorder="1" applyAlignment="1">
      <alignment vertical="top"/>
    </xf>
    <xf numFmtId="183" fontId="26" fillId="0" borderId="11" xfId="0" applyNumberFormat="1" applyFont="1" applyBorder="1" applyAlignment="1">
      <alignment horizontal="center" vertical="top" wrapText="1"/>
    </xf>
    <xf numFmtId="2" fontId="35" fillId="0" borderId="11" xfId="0" applyNumberFormat="1" applyFont="1" applyBorder="1" applyAlignment="1">
      <alignment horizontal="center" vertical="top"/>
    </xf>
    <xf numFmtId="183" fontId="6" fillId="0" borderId="11" xfId="0" applyNumberFormat="1" applyFont="1" applyBorder="1" applyAlignment="1">
      <alignment horizontal="left" vertical="top"/>
    </xf>
    <xf numFmtId="183" fontId="30" fillId="0" borderId="11" xfId="0" applyNumberFormat="1" applyFont="1" applyBorder="1" applyAlignment="1">
      <alignment vertical="top"/>
    </xf>
    <xf numFmtId="183" fontId="6" fillId="0" borderId="11" xfId="0" applyNumberFormat="1" applyFont="1" applyBorder="1" applyAlignment="1">
      <alignment horizontal="center" vertical="top"/>
    </xf>
    <xf numFmtId="2" fontId="29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 shrinkToFit="1"/>
    </xf>
    <xf numFmtId="0" fontId="43" fillId="38" borderId="11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0" fillId="38" borderId="11" xfId="0" applyFill="1" applyBorder="1" applyAlignment="1">
      <alignment/>
    </xf>
    <xf numFmtId="0" fontId="70" fillId="38" borderId="21" xfId="0" applyFont="1" applyFill="1" applyBorder="1" applyAlignment="1">
      <alignment vertical="center"/>
    </xf>
    <xf numFmtId="0" fontId="71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72" fillId="0" borderId="0" xfId="0" applyFont="1" applyAlignment="1">
      <alignment/>
    </xf>
    <xf numFmtId="0" fontId="57" fillId="33" borderId="21" xfId="0" applyFont="1" applyFill="1" applyBorder="1" applyAlignment="1">
      <alignment/>
    </xf>
    <xf numFmtId="0" fontId="43" fillId="0" borderId="0" xfId="0" applyFont="1" applyAlignment="1">
      <alignment horizontal="left" vertical="center" wrapText="1" shrinkToFit="1"/>
    </xf>
    <xf numFmtId="0" fontId="43" fillId="0" borderId="0" xfId="0" applyFont="1" applyAlignment="1">
      <alignment horizontal="right" vertical="center" wrapText="1" shrinkToFit="1"/>
    </xf>
    <xf numFmtId="0" fontId="4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43" fillId="33" borderId="11" xfId="0" applyFont="1" applyFill="1" applyBorder="1" applyAlignment="1">
      <alignment/>
    </xf>
    <xf numFmtId="0" fontId="74" fillId="0" borderId="0" xfId="0" applyFont="1" applyAlignment="1">
      <alignment horizontal="left" indent="6"/>
    </xf>
    <xf numFmtId="0" fontId="75" fillId="33" borderId="11" xfId="0" applyFont="1" applyFill="1" applyBorder="1" applyAlignment="1">
      <alignment/>
    </xf>
    <xf numFmtId="0" fontId="75" fillId="0" borderId="0" xfId="0" applyFont="1" applyAlignment="1">
      <alignment/>
    </xf>
    <xf numFmtId="0" fontId="74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0" fillId="38" borderId="0" xfId="0" applyFont="1" applyFill="1" applyAlignment="1">
      <alignment horizontal="center"/>
    </xf>
    <xf numFmtId="0" fontId="43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 horizontal="left" indent="2"/>
    </xf>
    <xf numFmtId="0" fontId="43" fillId="0" borderId="11" xfId="0" applyFont="1" applyBorder="1" applyAlignment="1">
      <alignment horizontal="left" indent="4"/>
    </xf>
    <xf numFmtId="184" fontId="43" fillId="0" borderId="11" xfId="0" applyNumberFormat="1" applyFont="1" applyBorder="1" applyAlignment="1">
      <alignment/>
    </xf>
    <xf numFmtId="176" fontId="43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 indent="4"/>
    </xf>
    <xf numFmtId="0" fontId="0" fillId="0" borderId="11" xfId="0" applyBorder="1" applyAlignment="1">
      <alignment/>
    </xf>
    <xf numFmtId="176" fontId="42" fillId="0" borderId="11" xfId="0" applyNumberFormat="1" applyFont="1" applyFill="1" applyBorder="1" applyAlignment="1">
      <alignment horizontal="right" vertical="center" wrapText="1"/>
    </xf>
    <xf numFmtId="176" fontId="42" fillId="0" borderId="11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62" fillId="37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 shrinkToFit="1"/>
    </xf>
    <xf numFmtId="0" fontId="29" fillId="38" borderId="11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6" fillId="38" borderId="11" xfId="0" applyFont="1" applyFill="1" applyBorder="1" applyAlignment="1">
      <alignment/>
    </xf>
    <xf numFmtId="0" fontId="39" fillId="38" borderId="21" xfId="0" applyFont="1" applyFill="1" applyBorder="1" applyAlignment="1">
      <alignment vertical="center"/>
    </xf>
    <xf numFmtId="0" fontId="78" fillId="0" borderId="0" xfId="0" applyFont="1" applyAlignment="1">
      <alignment/>
    </xf>
    <xf numFmtId="0" fontId="26" fillId="0" borderId="0" xfId="0" applyFont="1" applyAlignment="1">
      <alignment horizontal="left" indent="4"/>
    </xf>
    <xf numFmtId="0" fontId="79" fillId="0" borderId="0" xfId="0" applyFont="1" applyAlignment="1">
      <alignment/>
    </xf>
    <xf numFmtId="0" fontId="51" fillId="33" borderId="21" xfId="0" applyFont="1" applyFill="1" applyBorder="1" applyAlignment="1">
      <alignment/>
    </xf>
    <xf numFmtId="0" fontId="29" fillId="0" borderId="0" xfId="0" applyFont="1" applyAlignment="1">
      <alignment horizontal="left" vertical="center" wrapText="1" shrinkToFit="1"/>
    </xf>
    <xf numFmtId="0" fontId="29" fillId="0" borderId="0" xfId="0" applyFont="1" applyAlignment="1">
      <alignment horizontal="right" vertical="center" wrapText="1" shrinkToFit="1"/>
    </xf>
    <xf numFmtId="0" fontId="29" fillId="33" borderId="11" xfId="0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80" fillId="0" borderId="0" xfId="0" applyFont="1" applyAlignment="1">
      <alignment/>
    </xf>
    <xf numFmtId="0" fontId="26" fillId="0" borderId="0" xfId="0" applyFont="1" applyAlignment="1">
      <alignment/>
    </xf>
    <xf numFmtId="0" fontId="29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9" fillId="33" borderId="11" xfId="0" applyFont="1" applyFill="1" applyBorder="1" applyAlignment="1">
      <alignment vertical="center"/>
    </xf>
    <xf numFmtId="0" fontId="81" fillId="0" borderId="0" xfId="0" applyFont="1" applyAlignment="1">
      <alignment horizontal="left" indent="6"/>
    </xf>
    <xf numFmtId="0" fontId="82" fillId="33" borderId="11" xfId="0" applyFont="1" applyFill="1" applyBorder="1" applyAlignment="1">
      <alignment horizontal="right"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29" fillId="33" borderId="11" xfId="0" applyFont="1" applyFill="1" applyBorder="1" applyAlignment="1">
      <alignment horizontal="center" vertical="center"/>
    </xf>
    <xf numFmtId="0" fontId="80" fillId="0" borderId="0" xfId="0" applyFont="1" applyAlignment="1">
      <alignment vertical="center"/>
    </xf>
    <xf numFmtId="0" fontId="26" fillId="38" borderId="0" xfId="0" applyFont="1" applyFill="1" applyAlignment="1">
      <alignment horizontal="center"/>
    </xf>
    <xf numFmtId="0" fontId="29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26" fillId="38" borderId="0" xfId="0" applyFont="1" applyFill="1" applyAlignment="1">
      <alignment horizontal="left" indent="2"/>
    </xf>
    <xf numFmtId="0" fontId="29" fillId="0" borderId="11" xfId="0" applyFont="1" applyBorder="1" applyAlignment="1">
      <alignment horizontal="left" indent="4"/>
    </xf>
    <xf numFmtId="184" fontId="29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left" indent="4"/>
    </xf>
    <xf numFmtId="0" fontId="26" fillId="0" borderId="11" xfId="0" applyFont="1" applyBorder="1" applyAlignment="1">
      <alignment horizontal="right"/>
    </xf>
    <xf numFmtId="0" fontId="26" fillId="39" borderId="11" xfId="0" applyFont="1" applyFill="1" applyBorder="1" applyAlignment="1">
      <alignment horizontal="left" indent="4"/>
    </xf>
    <xf numFmtId="0" fontId="26" fillId="39" borderId="11" xfId="0" applyFont="1" applyFill="1" applyBorder="1" applyAlignment="1">
      <alignment horizontal="right"/>
    </xf>
    <xf numFmtId="176" fontId="42" fillId="39" borderId="11" xfId="0" applyNumberFormat="1" applyFont="1" applyFill="1" applyBorder="1" applyAlignment="1">
      <alignment horizontal="right" vertical="center" wrapText="1"/>
    </xf>
    <xf numFmtId="176" fontId="42" fillId="39" borderId="11" xfId="0" applyNumberFormat="1" applyFont="1" applyFill="1" applyBorder="1" applyAlignment="1">
      <alignment horizontal="right" vertical="center"/>
    </xf>
    <xf numFmtId="0" fontId="39" fillId="32" borderId="0" xfId="0" applyFont="1" applyFill="1" applyAlignment="1">
      <alignment/>
    </xf>
    <xf numFmtId="0" fontId="61" fillId="32" borderId="0" xfId="0" applyFont="1" applyFill="1" applyAlignment="1">
      <alignment horizontal="center"/>
    </xf>
    <xf numFmtId="0" fontId="42" fillId="32" borderId="0" xfId="0" applyFont="1" applyFill="1" applyAlignment="1">
      <alignment vertical="top" wrapText="1"/>
    </xf>
    <xf numFmtId="0" fontId="41" fillId="32" borderId="11" xfId="0" applyFont="1" applyFill="1" applyBorder="1" applyAlignment="1">
      <alignment horizontal="center"/>
    </xf>
    <xf numFmtId="0" fontId="41" fillId="32" borderId="11" xfId="0" applyFont="1" applyFill="1" applyBorder="1" applyAlignment="1">
      <alignment horizontal="center" vertical="center" wrapText="1"/>
    </xf>
    <xf numFmtId="0" fontId="41" fillId="32" borderId="0" xfId="0" applyFont="1" applyFill="1" applyAlignment="1">
      <alignment/>
    </xf>
    <xf numFmtId="0" fontId="42" fillId="32" borderId="11" xfId="0" applyFont="1" applyFill="1" applyBorder="1" applyAlignment="1">
      <alignment vertical="center" wrapText="1"/>
    </xf>
    <xf numFmtId="0" fontId="42" fillId="32" borderId="11" xfId="0" applyFont="1" applyFill="1" applyBorder="1" applyAlignment="1">
      <alignment horizontal="right" vertical="center" wrapText="1"/>
    </xf>
    <xf numFmtId="2" fontId="42" fillId="32" borderId="11" xfId="0" applyNumberFormat="1" applyFont="1" applyFill="1" applyBorder="1" applyAlignment="1">
      <alignment horizontal="right" vertical="center" wrapText="1"/>
    </xf>
    <xf numFmtId="182" fontId="42" fillId="32" borderId="11" xfId="0" applyNumberFormat="1" applyFont="1" applyFill="1" applyBorder="1" applyAlignment="1">
      <alignment horizontal="center" vertical="center" wrapText="1"/>
    </xf>
    <xf numFmtId="182" fontId="42" fillId="32" borderId="11" xfId="0" applyNumberFormat="1" applyFont="1" applyFill="1" applyBorder="1" applyAlignment="1">
      <alignment horizontal="right" vertical="center" wrapText="1"/>
    </xf>
    <xf numFmtId="176" fontId="42" fillId="32" borderId="11" xfId="0" applyNumberFormat="1" applyFont="1" applyFill="1" applyBorder="1" applyAlignment="1">
      <alignment horizontal="right" vertical="center" wrapText="1"/>
    </xf>
    <xf numFmtId="176" fontId="42" fillId="32" borderId="11" xfId="0" applyNumberFormat="1" applyFont="1" applyFill="1" applyBorder="1" applyAlignment="1">
      <alignment vertical="center"/>
    </xf>
    <xf numFmtId="174" fontId="42" fillId="32" borderId="11" xfId="0" applyNumberFormat="1" applyFont="1" applyFill="1" applyBorder="1" applyAlignment="1">
      <alignment horizontal="right" vertical="center" wrapText="1"/>
    </xf>
    <xf numFmtId="0" fontId="42" fillId="32" borderId="11" xfId="0" applyFont="1" applyFill="1" applyBorder="1" applyAlignment="1">
      <alignment/>
    </xf>
    <xf numFmtId="0" fontId="42" fillId="32" borderId="13" xfId="0" applyFont="1" applyFill="1" applyBorder="1" applyAlignment="1">
      <alignment horizontal="right" vertical="center" wrapText="1"/>
    </xf>
    <xf numFmtId="1" fontId="42" fillId="32" borderId="11" xfId="0" applyNumberFormat="1" applyFont="1" applyFill="1" applyBorder="1" applyAlignment="1">
      <alignment horizontal="right" vertical="center" wrapText="1"/>
    </xf>
    <xf numFmtId="16" fontId="86" fillId="32" borderId="11" xfId="0" applyNumberFormat="1" applyFont="1" applyFill="1" applyBorder="1" applyAlignment="1">
      <alignment horizontal="center" vertical="center"/>
    </xf>
    <xf numFmtId="0" fontId="86" fillId="32" borderId="11" xfId="0" applyFont="1" applyFill="1" applyBorder="1" applyAlignment="1">
      <alignment vertical="center" wrapText="1"/>
    </xf>
    <xf numFmtId="0" fontId="86" fillId="32" borderId="11" xfId="0" applyFont="1" applyFill="1" applyBorder="1" applyAlignment="1">
      <alignment horizontal="right" vertical="center" wrapText="1"/>
    </xf>
    <xf numFmtId="182" fontId="86" fillId="32" borderId="11" xfId="0" applyNumberFormat="1" applyFont="1" applyFill="1" applyBorder="1" applyAlignment="1">
      <alignment horizontal="right" vertical="center"/>
    </xf>
    <xf numFmtId="182" fontId="86" fillId="32" borderId="11" xfId="0" applyNumberFormat="1" applyFont="1" applyFill="1" applyBorder="1" applyAlignment="1">
      <alignment horizontal="right" vertical="center" wrapText="1"/>
    </xf>
    <xf numFmtId="176" fontId="86" fillId="32" borderId="11" xfId="0" applyNumberFormat="1" applyFont="1" applyFill="1" applyBorder="1" applyAlignment="1">
      <alignment horizontal="right" vertical="center" wrapText="1"/>
    </xf>
    <xf numFmtId="176" fontId="86" fillId="32" borderId="11" xfId="0" applyNumberFormat="1" applyFont="1" applyFill="1" applyBorder="1" applyAlignment="1">
      <alignment vertical="center"/>
    </xf>
    <xf numFmtId="174" fontId="86" fillId="32" borderId="11" xfId="0" applyNumberFormat="1" applyFont="1" applyFill="1" applyBorder="1" applyAlignment="1">
      <alignment horizontal="right" vertical="center" wrapText="1"/>
    </xf>
    <xf numFmtId="0" fontId="86" fillId="32" borderId="11" xfId="0" applyFont="1" applyFill="1" applyBorder="1" applyAlignment="1">
      <alignment/>
    </xf>
    <xf numFmtId="0" fontId="87" fillId="32" borderId="0" xfId="0" applyFont="1" applyFill="1" applyAlignment="1">
      <alignment/>
    </xf>
    <xf numFmtId="0" fontId="86" fillId="32" borderId="11" xfId="0" applyFont="1" applyFill="1" applyBorder="1" applyAlignment="1">
      <alignment horizontal="center" vertical="center" wrapText="1"/>
    </xf>
    <xf numFmtId="0" fontId="86" fillId="32" borderId="11" xfId="0" applyFont="1" applyFill="1" applyBorder="1" applyAlignment="1">
      <alignment vertical="top" wrapText="1"/>
    </xf>
    <xf numFmtId="180" fontId="85" fillId="32" borderId="21" xfId="0" applyNumberFormat="1" applyFont="1" applyFill="1" applyBorder="1" applyAlignment="1">
      <alignment horizontal="right" vertical="center" wrapText="1"/>
    </xf>
    <xf numFmtId="2" fontId="85" fillId="32" borderId="13" xfId="0" applyNumberFormat="1" applyFont="1" applyFill="1" applyBorder="1" applyAlignment="1">
      <alignment vertical="center" wrapText="1"/>
    </xf>
    <xf numFmtId="2" fontId="85" fillId="32" borderId="11" xfId="0" applyNumberFormat="1" applyFont="1" applyFill="1" applyBorder="1" applyAlignment="1">
      <alignment horizontal="right" vertical="center" wrapText="1"/>
    </xf>
    <xf numFmtId="0" fontId="85" fillId="32" borderId="13" xfId="0" applyFont="1" applyFill="1" applyBorder="1" applyAlignment="1">
      <alignment horizontal="right" vertical="center" wrapText="1"/>
    </xf>
    <xf numFmtId="0" fontId="85" fillId="32" borderId="11" xfId="0" applyFont="1" applyFill="1" applyBorder="1" applyAlignment="1">
      <alignment horizontal="right" vertical="center" wrapText="1"/>
    </xf>
    <xf numFmtId="1" fontId="85" fillId="32" borderId="11" xfId="0" applyNumberFormat="1" applyFont="1" applyFill="1" applyBorder="1" applyAlignment="1">
      <alignment horizontal="right" vertical="center" wrapText="1"/>
    </xf>
    <xf numFmtId="176" fontId="85" fillId="32" borderId="11" xfId="0" applyNumberFormat="1" applyFont="1" applyFill="1" applyBorder="1" applyAlignment="1">
      <alignment horizontal="right" vertical="center" wrapText="1"/>
    </xf>
    <xf numFmtId="183" fontId="85" fillId="32" borderId="11" xfId="0" applyNumberFormat="1" applyFont="1" applyFill="1" applyBorder="1" applyAlignment="1">
      <alignment horizontal="right" vertical="center" wrapText="1"/>
    </xf>
    <xf numFmtId="174" fontId="85" fillId="32" borderId="11" xfId="0" applyNumberFormat="1" applyFont="1" applyFill="1" applyBorder="1" applyAlignment="1">
      <alignment horizontal="right" vertical="center" wrapText="1"/>
    </xf>
    <xf numFmtId="185" fontId="42" fillId="32" borderId="11" xfId="0" applyNumberFormat="1" applyFont="1" applyFill="1" applyBorder="1" applyAlignment="1">
      <alignment horizontal="center" vertical="center" wrapText="1"/>
    </xf>
    <xf numFmtId="185" fontId="42" fillId="32" borderId="11" xfId="0" applyNumberFormat="1" applyFont="1" applyFill="1" applyBorder="1" applyAlignment="1">
      <alignment horizontal="right" vertical="center" wrapText="1"/>
    </xf>
    <xf numFmtId="0" fontId="42" fillId="32" borderId="0" xfId="0" applyFont="1" applyFill="1" applyAlignment="1">
      <alignment/>
    </xf>
    <xf numFmtId="185" fontId="42" fillId="32" borderId="13" xfId="0" applyNumberFormat="1" applyFont="1" applyFill="1" applyBorder="1" applyAlignment="1">
      <alignment horizontal="right" vertical="center" wrapText="1"/>
    </xf>
    <xf numFmtId="185" fontId="86" fillId="32" borderId="11" xfId="0" applyNumberFormat="1" applyFont="1" applyFill="1" applyBorder="1" applyAlignment="1">
      <alignment horizontal="right" vertical="center"/>
    </xf>
    <xf numFmtId="185" fontId="86" fillId="32" borderId="11" xfId="0" applyNumberFormat="1" applyFont="1" applyFill="1" applyBorder="1" applyAlignment="1">
      <alignment horizontal="right" vertical="center" wrapText="1"/>
    </xf>
    <xf numFmtId="0" fontId="86" fillId="32" borderId="0" xfId="0" applyFont="1" applyFill="1" applyAlignment="1">
      <alignment/>
    </xf>
    <xf numFmtId="0" fontId="86" fillId="32" borderId="0" xfId="0" applyFont="1" applyFill="1" applyAlignment="1">
      <alignment vertical="top" wrapText="1"/>
    </xf>
    <xf numFmtId="0" fontId="85" fillId="32" borderId="23" xfId="0" applyFont="1" applyFill="1" applyBorder="1" applyAlignment="1">
      <alignment vertical="center" wrapText="1"/>
    </xf>
    <xf numFmtId="180" fontId="85" fillId="32" borderId="26" xfId="0" applyNumberFormat="1" applyFont="1" applyFill="1" applyBorder="1" applyAlignment="1">
      <alignment horizontal="right" vertical="center" wrapText="1"/>
    </xf>
    <xf numFmtId="2" fontId="85" fillId="32" borderId="27" xfId="0" applyNumberFormat="1" applyFont="1" applyFill="1" applyBorder="1" applyAlignment="1">
      <alignment vertical="center" wrapText="1"/>
    </xf>
    <xf numFmtId="2" fontId="85" fillId="32" borderId="20" xfId="0" applyNumberFormat="1" applyFont="1" applyFill="1" applyBorder="1" applyAlignment="1">
      <alignment horizontal="right" vertical="center" wrapText="1"/>
    </xf>
    <xf numFmtId="0" fontId="85" fillId="32" borderId="27" xfId="0" applyFont="1" applyFill="1" applyBorder="1" applyAlignment="1">
      <alignment horizontal="right" vertical="center" wrapText="1"/>
    </xf>
    <xf numFmtId="0" fontId="85" fillId="32" borderId="20" xfId="0" applyFont="1" applyFill="1" applyBorder="1" applyAlignment="1">
      <alignment horizontal="right" vertical="center" wrapText="1"/>
    </xf>
    <xf numFmtId="1" fontId="85" fillId="32" borderId="20" xfId="0" applyNumberFormat="1" applyFont="1" applyFill="1" applyBorder="1" applyAlignment="1">
      <alignment horizontal="right" vertical="center" wrapText="1"/>
    </xf>
    <xf numFmtId="176" fontId="85" fillId="32" borderId="20" xfId="0" applyNumberFormat="1" applyFont="1" applyFill="1" applyBorder="1" applyAlignment="1">
      <alignment horizontal="right" vertical="center" wrapText="1"/>
    </xf>
    <xf numFmtId="183" fontId="85" fillId="32" borderId="20" xfId="0" applyNumberFormat="1" applyFont="1" applyFill="1" applyBorder="1" applyAlignment="1">
      <alignment horizontal="right" vertical="center" wrapText="1"/>
    </xf>
    <xf numFmtId="174" fontId="85" fillId="32" borderId="20" xfId="0" applyNumberFormat="1" applyFont="1" applyFill="1" applyBorder="1" applyAlignment="1">
      <alignment horizontal="right" vertical="center" wrapText="1"/>
    </xf>
    <xf numFmtId="0" fontId="85" fillId="32" borderId="0" xfId="0" applyFont="1" applyFill="1" applyAlignment="1">
      <alignment vertical="top" wrapText="1"/>
    </xf>
    <xf numFmtId="0" fontId="85" fillId="32" borderId="22" xfId="0" applyFont="1" applyFill="1" applyBorder="1" applyAlignment="1">
      <alignment vertical="center" wrapText="1"/>
    </xf>
    <xf numFmtId="180" fontId="85" fillId="32" borderId="0" xfId="0" applyNumberFormat="1" applyFont="1" applyFill="1" applyBorder="1" applyAlignment="1">
      <alignment horizontal="right" vertical="center" wrapText="1"/>
    </xf>
    <xf numFmtId="2" fontId="85" fillId="32" borderId="22" xfId="0" applyNumberFormat="1" applyFont="1" applyFill="1" applyBorder="1" applyAlignment="1">
      <alignment vertical="center" wrapText="1"/>
    </xf>
    <xf numFmtId="2" fontId="85" fillId="32" borderId="22" xfId="0" applyNumberFormat="1" applyFont="1" applyFill="1" applyBorder="1" applyAlignment="1">
      <alignment horizontal="right" vertical="center" wrapText="1"/>
    </xf>
    <xf numFmtId="0" fontId="85" fillId="32" borderId="22" xfId="0" applyFont="1" applyFill="1" applyBorder="1" applyAlignment="1">
      <alignment horizontal="right" vertical="center" wrapText="1"/>
    </xf>
    <xf numFmtId="1" fontId="85" fillId="32" borderId="22" xfId="0" applyNumberFormat="1" applyFont="1" applyFill="1" applyBorder="1" applyAlignment="1">
      <alignment horizontal="right" vertical="center" wrapText="1"/>
    </xf>
    <xf numFmtId="176" fontId="85" fillId="32" borderId="22" xfId="0" applyNumberFormat="1" applyFont="1" applyFill="1" applyBorder="1" applyAlignment="1">
      <alignment horizontal="right" vertical="center" wrapText="1"/>
    </xf>
    <xf numFmtId="183" fontId="85" fillId="32" borderId="22" xfId="0" applyNumberFormat="1" applyFont="1" applyFill="1" applyBorder="1" applyAlignment="1">
      <alignment horizontal="right" vertical="center" wrapText="1"/>
    </xf>
    <xf numFmtId="174" fontId="85" fillId="32" borderId="22" xfId="0" applyNumberFormat="1" applyFont="1" applyFill="1" applyBorder="1" applyAlignment="1">
      <alignment horizontal="right" vertical="center" wrapText="1"/>
    </xf>
    <xf numFmtId="174" fontId="85" fillId="32" borderId="27" xfId="0" applyNumberFormat="1" applyFont="1" applyFill="1" applyBorder="1" applyAlignment="1">
      <alignment horizontal="right" vertical="center" wrapText="1"/>
    </xf>
    <xf numFmtId="0" fontId="86" fillId="32" borderId="20" xfId="0" applyFont="1" applyFill="1" applyBorder="1" applyAlignment="1">
      <alignment horizontal="right" vertical="center" wrapText="1"/>
    </xf>
    <xf numFmtId="180" fontId="85" fillId="32" borderId="11" xfId="0" applyNumberFormat="1" applyFont="1" applyFill="1" applyBorder="1" applyAlignment="1">
      <alignment horizontal="right" vertical="center" wrapText="1"/>
    </xf>
    <xf numFmtId="2" fontId="85" fillId="32" borderId="11" xfId="0" applyNumberFormat="1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vertical="center" wrapText="1"/>
    </xf>
    <xf numFmtId="0" fontId="88" fillId="32" borderId="0" xfId="0" applyFont="1" applyFill="1" applyBorder="1" applyAlignment="1">
      <alignment vertical="center" wrapText="1"/>
    </xf>
    <xf numFmtId="0" fontId="54" fillId="32" borderId="0" xfId="0" applyFont="1" applyFill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49" fillId="32" borderId="0" xfId="0" applyFont="1" applyFill="1" applyBorder="1" applyAlignment="1">
      <alignment horizontal="right" vertical="center"/>
    </xf>
    <xf numFmtId="0" fontId="49" fillId="32" borderId="0" xfId="0" applyFont="1" applyFill="1" applyBorder="1" applyAlignment="1">
      <alignment horizontal="left" vertical="center"/>
    </xf>
    <xf numFmtId="0" fontId="49" fillId="32" borderId="0" xfId="0" applyFont="1" applyFill="1" applyBorder="1" applyAlignment="1">
      <alignment vertical="center"/>
    </xf>
    <xf numFmtId="0" fontId="61" fillId="32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Border="1" applyAlignment="1">
      <alignment horizontal="center" vertical="center"/>
    </xf>
    <xf numFmtId="0" fontId="31" fillId="32" borderId="11" xfId="0" applyFont="1" applyFill="1" applyBorder="1" applyAlignment="1">
      <alignment vertical="top" wrapText="1"/>
    </xf>
    <xf numFmtId="0" fontId="31" fillId="32" borderId="11" xfId="0" applyFont="1" applyFill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center"/>
    </xf>
    <xf numFmtId="0" fontId="31" fillId="32" borderId="12" xfId="0" applyFont="1" applyFill="1" applyBorder="1" applyAlignment="1">
      <alignment vertical="center" wrapText="1"/>
    </xf>
    <xf numFmtId="0" fontId="90" fillId="0" borderId="0" xfId="0" applyFont="1" applyBorder="1" applyAlignment="1">
      <alignment/>
    </xf>
    <xf numFmtId="0" fontId="90" fillId="0" borderId="11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top" wrapText="1"/>
    </xf>
    <xf numFmtId="183" fontId="26" fillId="0" borderId="11" xfId="0" applyNumberFormat="1" applyFont="1" applyBorder="1" applyAlignment="1">
      <alignment/>
    </xf>
    <xf numFmtId="174" fontId="26" fillId="0" borderId="11" xfId="0" applyNumberFormat="1" applyFont="1" applyBorder="1" applyAlignment="1">
      <alignment/>
    </xf>
    <xf numFmtId="2" fontId="26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173" fontId="26" fillId="0" borderId="11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19" xfId="0" applyFont="1" applyBorder="1" applyAlignment="1">
      <alignment horizontal="center" vertical="top"/>
    </xf>
    <xf numFmtId="0" fontId="26" fillId="0" borderId="13" xfId="0" applyFont="1" applyFill="1" applyBorder="1" applyAlignment="1">
      <alignment vertical="top" wrapText="1"/>
    </xf>
    <xf numFmtId="0" fontId="29" fillId="0" borderId="12" xfId="0" applyFont="1" applyBorder="1" applyAlignment="1">
      <alignment/>
    </xf>
    <xf numFmtId="0" fontId="29" fillId="0" borderId="17" xfId="0" applyFont="1" applyBorder="1" applyAlignment="1">
      <alignment horizontal="center" vertical="top"/>
    </xf>
    <xf numFmtId="0" fontId="29" fillId="0" borderId="13" xfId="0" applyFont="1" applyBorder="1" applyAlignment="1">
      <alignment horizontal="left"/>
    </xf>
    <xf numFmtId="183" fontId="29" fillId="0" borderId="11" xfId="0" applyNumberFormat="1" applyFont="1" applyBorder="1" applyAlignment="1">
      <alignment/>
    </xf>
    <xf numFmtId="173" fontId="29" fillId="0" borderId="11" xfId="0" applyNumberFormat="1" applyFont="1" applyBorder="1" applyAlignment="1">
      <alignment/>
    </xf>
    <xf numFmtId="174" fontId="29" fillId="0" borderId="11" xfId="0" applyNumberFormat="1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90" fillId="32" borderId="11" xfId="0" applyFont="1" applyFill="1" applyBorder="1" applyAlignment="1">
      <alignment vertical="top" wrapText="1"/>
    </xf>
    <xf numFmtId="0" fontId="90" fillId="32" borderId="11" xfId="0" applyFont="1" applyFill="1" applyBorder="1" applyAlignment="1">
      <alignment horizontal="center" vertical="top" wrapText="1"/>
    </xf>
    <xf numFmtId="0" fontId="90" fillId="0" borderId="11" xfId="0" applyFont="1" applyBorder="1" applyAlignment="1">
      <alignment horizontal="center" vertical="center"/>
    </xf>
    <xf numFmtId="0" fontId="90" fillId="32" borderId="12" xfId="0" applyFont="1" applyFill="1" applyBorder="1" applyAlignment="1">
      <alignment vertical="center" wrapText="1"/>
    </xf>
    <xf numFmtId="176" fontId="26" fillId="0" borderId="0" xfId="0" applyNumberFormat="1" applyFont="1" applyFill="1" applyAlignment="1">
      <alignment horizontal="center"/>
    </xf>
    <xf numFmtId="186" fontId="30" fillId="0" borderId="11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0" fontId="2" fillId="2" borderId="0" xfId="0" applyFont="1" applyFill="1" applyAlignment="1">
      <alignment/>
    </xf>
    <xf numFmtId="0" fontId="3" fillId="2" borderId="1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3" fontId="2" fillId="2" borderId="17" xfId="0" applyNumberFormat="1" applyFont="1" applyFill="1" applyBorder="1" applyAlignment="1">
      <alignment horizontal="right" vertical="center" wrapText="1"/>
    </xf>
    <xf numFmtId="173" fontId="13" fillId="2" borderId="17" xfId="0" applyNumberFormat="1" applyFont="1" applyFill="1" applyBorder="1" applyAlignment="1">
      <alignment horizontal="right" vertical="center" wrapText="1"/>
    </xf>
    <xf numFmtId="0" fontId="13" fillId="2" borderId="11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73" fontId="21" fillId="2" borderId="17" xfId="0" applyNumberFormat="1" applyFont="1" applyFill="1" applyBorder="1" applyAlignment="1">
      <alignment horizontal="right" vertical="center" wrapText="1"/>
    </xf>
    <xf numFmtId="173" fontId="19" fillId="2" borderId="17" xfId="0" applyNumberFormat="1" applyFont="1" applyFill="1" applyBorder="1" applyAlignment="1">
      <alignment horizontal="right" vertical="center" wrapText="1"/>
    </xf>
    <xf numFmtId="0" fontId="19" fillId="2" borderId="11" xfId="0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7" fillId="2" borderId="0" xfId="0" applyFont="1" applyFill="1" applyAlignment="1">
      <alignment/>
    </xf>
    <xf numFmtId="189" fontId="30" fillId="0" borderId="11" xfId="0" applyNumberFormat="1" applyFont="1" applyBorder="1" applyAlignment="1">
      <alignment/>
    </xf>
    <xf numFmtId="182" fontId="29" fillId="0" borderId="11" xfId="0" applyNumberFormat="1" applyFont="1" applyFill="1" applyBorder="1" applyAlignment="1">
      <alignment/>
    </xf>
    <xf numFmtId="188" fontId="30" fillId="0" borderId="11" xfId="0" applyNumberFormat="1" applyFont="1" applyFill="1" applyBorder="1" applyAlignment="1">
      <alignment/>
    </xf>
    <xf numFmtId="180" fontId="30" fillId="0" borderId="11" xfId="0" applyNumberFormat="1" applyFont="1" applyFill="1" applyBorder="1" applyAlignment="1">
      <alignment/>
    </xf>
    <xf numFmtId="176" fontId="42" fillId="32" borderId="13" xfId="0" applyNumberFormat="1" applyFont="1" applyFill="1" applyBorder="1" applyAlignment="1">
      <alignment horizontal="right" vertical="center" wrapText="1"/>
    </xf>
    <xf numFmtId="175" fontId="13" fillId="0" borderId="0" xfId="0" applyNumberFormat="1" applyFont="1" applyAlignment="1">
      <alignment/>
    </xf>
    <xf numFmtId="0" fontId="26" fillId="0" borderId="11" xfId="0" applyFont="1" applyBorder="1" applyAlignment="1">
      <alignment horizontal="center" vertical="top"/>
    </xf>
    <xf numFmtId="0" fontId="2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left" vertical="top"/>
    </xf>
    <xf numFmtId="0" fontId="60" fillId="0" borderId="1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89" fillId="0" borderId="0" xfId="0" applyFont="1" applyFill="1" applyAlignment="1">
      <alignment/>
    </xf>
    <xf numFmtId="0" fontId="30" fillId="0" borderId="13" xfId="0" applyFont="1" applyBorder="1" applyAlignment="1">
      <alignment horizontal="center"/>
    </xf>
    <xf numFmtId="176" fontId="26" fillId="40" borderId="11" xfId="0" applyNumberFormat="1" applyFont="1" applyFill="1" applyBorder="1" applyAlignment="1">
      <alignment/>
    </xf>
    <xf numFmtId="0" fontId="92" fillId="0" borderId="28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13" fillId="0" borderId="29" xfId="0" applyFont="1" applyBorder="1" applyAlignment="1">
      <alignment/>
    </xf>
    <xf numFmtId="1" fontId="42" fillId="41" borderId="11" xfId="0" applyNumberFormat="1" applyFont="1" applyFill="1" applyBorder="1" applyAlignment="1">
      <alignment horizontal="right" vertical="center" wrapText="1"/>
    </xf>
    <xf numFmtId="0" fontId="86" fillId="41" borderId="11" xfId="0" applyFont="1" applyFill="1" applyBorder="1" applyAlignment="1">
      <alignment horizontal="right" vertical="center" wrapText="1"/>
    </xf>
    <xf numFmtId="1" fontId="42" fillId="0" borderId="11" xfId="0" applyNumberFormat="1" applyFont="1" applyFill="1" applyBorder="1" applyAlignment="1">
      <alignment horizontal="right" vertical="center" wrapText="1"/>
    </xf>
    <xf numFmtId="0" fontId="86" fillId="0" borderId="11" xfId="0" applyFont="1" applyFill="1" applyBorder="1" applyAlignment="1">
      <alignment horizontal="right" vertical="center" wrapText="1"/>
    </xf>
    <xf numFmtId="183" fontId="26" fillId="0" borderId="11" xfId="0" applyNumberFormat="1" applyFont="1" applyFill="1" applyBorder="1" applyAlignment="1">
      <alignment horizontal="center" vertical="center" wrapText="1"/>
    </xf>
    <xf numFmtId="175" fontId="127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/>
    </xf>
    <xf numFmtId="0" fontId="30" fillId="42" borderId="15" xfId="0" applyFont="1" applyFill="1" applyBorder="1" applyAlignment="1">
      <alignment horizontal="center" wrapText="1"/>
    </xf>
    <xf numFmtId="0" fontId="30" fillId="42" borderId="15" xfId="0" applyFont="1" applyFill="1" applyBorder="1" applyAlignment="1">
      <alignment horizontal="center" vertical="center" wrapText="1"/>
    </xf>
    <xf numFmtId="176" fontId="26" fillId="42" borderId="11" xfId="0" applyNumberFormat="1" applyFont="1" applyFill="1" applyBorder="1" applyAlignment="1">
      <alignment/>
    </xf>
    <xf numFmtId="173" fontId="26" fillId="42" borderId="11" xfId="0" applyNumberFormat="1" applyFont="1" applyFill="1" applyBorder="1" applyAlignment="1">
      <alignment/>
    </xf>
    <xf numFmtId="0" fontId="26" fillId="42" borderId="13" xfId="0" applyFont="1" applyFill="1" applyBorder="1" applyAlignment="1">
      <alignment horizontal="center" vertical="center" wrapText="1"/>
    </xf>
    <xf numFmtId="173" fontId="26" fillId="43" borderId="11" xfId="0" applyNumberFormat="1" applyFont="1" applyFill="1" applyBorder="1" applyAlignment="1">
      <alignment horizontal="center" vertical="center" wrapText="1"/>
    </xf>
    <xf numFmtId="0" fontId="26" fillId="43" borderId="11" xfId="0" applyFont="1" applyFill="1" applyBorder="1" applyAlignment="1">
      <alignment horizontal="center" vertical="center" wrapText="1"/>
    </xf>
    <xf numFmtId="2" fontId="6" fillId="44" borderId="11" xfId="0" applyNumberFormat="1" applyFont="1" applyFill="1" applyBorder="1" applyAlignment="1">
      <alignment horizontal="center"/>
    </xf>
    <xf numFmtId="173" fontId="26" fillId="44" borderId="11" xfId="0" applyNumberFormat="1" applyFont="1" applyFill="1" applyBorder="1" applyAlignment="1">
      <alignment horizontal="center" vertical="center" wrapText="1"/>
    </xf>
    <xf numFmtId="0" fontId="26" fillId="44" borderId="11" xfId="0" applyFont="1" applyFill="1" applyBorder="1" applyAlignment="1">
      <alignment horizontal="center" vertical="center" wrapText="1"/>
    </xf>
    <xf numFmtId="2" fontId="26" fillId="43" borderId="11" xfId="0" applyNumberFormat="1" applyFont="1" applyFill="1" applyBorder="1" applyAlignment="1">
      <alignment horizontal="center" vertical="center" wrapText="1"/>
    </xf>
    <xf numFmtId="2" fontId="26" fillId="45" borderId="11" xfId="0" applyNumberFormat="1" applyFont="1" applyFill="1" applyBorder="1" applyAlignment="1">
      <alignment horizontal="center" vertical="center" wrapText="1"/>
    </xf>
    <xf numFmtId="2" fontId="26" fillId="36" borderId="11" xfId="0" applyNumberFormat="1" applyFont="1" applyFill="1" applyBorder="1" applyAlignment="1">
      <alignment horizontal="center" vertical="center" wrapText="1"/>
    </xf>
    <xf numFmtId="173" fontId="2" fillId="42" borderId="17" xfId="0" applyNumberFormat="1" applyFont="1" applyFill="1" applyBorder="1" applyAlignment="1">
      <alignment horizontal="right" vertical="center" wrapText="1"/>
    </xf>
    <xf numFmtId="174" fontId="26" fillId="0" borderId="30" xfId="0" applyNumberFormat="1" applyFont="1" applyFill="1" applyBorder="1" applyAlignment="1">
      <alignment/>
    </xf>
    <xf numFmtId="1" fontId="26" fillId="46" borderId="30" xfId="0" applyNumberFormat="1" applyFont="1" applyFill="1" applyBorder="1" applyAlignment="1">
      <alignment horizontal="center"/>
    </xf>
    <xf numFmtId="174" fontId="26" fillId="0" borderId="30" xfId="0" applyNumberFormat="1" applyFont="1" applyFill="1" applyBorder="1" applyAlignment="1">
      <alignment horizontal="center"/>
    </xf>
    <xf numFmtId="173" fontId="26" fillId="46" borderId="30" xfId="0" applyNumberFormat="1" applyFont="1" applyFill="1" applyBorder="1" applyAlignment="1">
      <alignment/>
    </xf>
    <xf numFmtId="183" fontId="6" fillId="0" borderId="30" xfId="0" applyNumberFormat="1" applyFont="1" applyBorder="1" applyAlignment="1">
      <alignment horizontal="center"/>
    </xf>
    <xf numFmtId="175" fontId="6" fillId="0" borderId="31" xfId="0" applyNumberFormat="1" applyFont="1" applyFill="1" applyBorder="1" applyAlignment="1">
      <alignment horizontal="center" vertical="center" wrapText="1"/>
    </xf>
    <xf numFmtId="2" fontId="26" fillId="42" borderId="30" xfId="0" applyNumberFormat="1" applyFont="1" applyFill="1" applyBorder="1" applyAlignment="1">
      <alignment horizontal="center" vertical="center" wrapText="1"/>
    </xf>
    <xf numFmtId="2" fontId="6" fillId="42" borderId="30" xfId="0" applyNumberFormat="1" applyFont="1" applyFill="1" applyBorder="1" applyAlignment="1">
      <alignment horizontal="center"/>
    </xf>
    <xf numFmtId="2" fontId="6" fillId="46" borderId="30" xfId="0" applyNumberFormat="1" applyFont="1" applyFill="1" applyBorder="1" applyAlignment="1">
      <alignment horizontal="center"/>
    </xf>
    <xf numFmtId="1" fontId="6" fillId="44" borderId="11" xfId="0" applyNumberFormat="1" applyFont="1" applyFill="1" applyBorder="1" applyAlignment="1">
      <alignment horizontal="center"/>
    </xf>
    <xf numFmtId="1" fontId="26" fillId="32" borderId="11" xfId="0" applyNumberFormat="1" applyFont="1" applyFill="1" applyBorder="1" applyAlignment="1">
      <alignment horizontal="center" vertical="center" wrapText="1"/>
    </xf>
    <xf numFmtId="174" fontId="26" fillId="42" borderId="30" xfId="0" applyNumberFormat="1" applyFont="1" applyFill="1" applyBorder="1" applyAlignment="1">
      <alignment horizontal="right"/>
    </xf>
    <xf numFmtId="2" fontId="26" fillId="42" borderId="30" xfId="0" applyNumberFormat="1" applyFont="1" applyFill="1" applyBorder="1" applyAlignment="1">
      <alignment horizontal="right"/>
    </xf>
    <xf numFmtId="183" fontId="6" fillId="42" borderId="30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/>
    </xf>
    <xf numFmtId="0" fontId="19" fillId="34" borderId="15" xfId="0" applyFont="1" applyFill="1" applyBorder="1" applyAlignment="1">
      <alignment horizontal="left" vertical="center" wrapText="1"/>
    </xf>
    <xf numFmtId="0" fontId="12" fillId="47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48" borderId="11" xfId="0" applyFont="1" applyFill="1" applyBorder="1" applyAlignment="1">
      <alignment horizontal="center" vertical="center" textRotation="90" wrapText="1"/>
    </xf>
    <xf numFmtId="0" fontId="7" fillId="48" borderId="12" xfId="0" applyFont="1" applyFill="1" applyBorder="1" applyAlignment="1">
      <alignment horizontal="center" vertical="center" textRotation="90" wrapText="1"/>
    </xf>
    <xf numFmtId="0" fontId="85" fillId="32" borderId="11" xfId="0" applyFont="1" applyFill="1" applyBorder="1" applyAlignment="1">
      <alignment vertical="center" wrapText="1"/>
    </xf>
    <xf numFmtId="0" fontId="42" fillId="32" borderId="11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85" fillId="32" borderId="11" xfId="0" applyFont="1" applyFill="1" applyBorder="1" applyAlignment="1">
      <alignment horizontal="center" vertical="center" wrapText="1"/>
    </xf>
    <xf numFmtId="0" fontId="85" fillId="35" borderId="11" xfId="0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0" fontId="85" fillId="32" borderId="15" xfId="0" applyFont="1" applyFill="1" applyBorder="1" applyAlignment="1">
      <alignment vertical="center" wrapText="1"/>
    </xf>
    <xf numFmtId="0" fontId="85" fillId="37" borderId="11" xfId="0" applyFont="1" applyFill="1" applyBorder="1" applyAlignment="1">
      <alignment horizontal="center" vertical="center" wrapText="1"/>
    </xf>
    <xf numFmtId="0" fontId="85" fillId="32" borderId="23" xfId="0" applyFont="1" applyFill="1" applyBorder="1" applyAlignment="1">
      <alignment vertical="center" wrapText="1"/>
    </xf>
    <xf numFmtId="0" fontId="34" fillId="35" borderId="0" xfId="0" applyFont="1" applyFill="1" applyBorder="1" applyAlignment="1">
      <alignment horizontal="left" vertical="center"/>
    </xf>
    <xf numFmtId="0" fontId="85" fillId="34" borderId="11" xfId="0" applyFont="1" applyFill="1" applyBorder="1" applyAlignment="1">
      <alignment horizontal="center" vertical="center" wrapText="1"/>
    </xf>
    <xf numFmtId="0" fontId="85" fillId="37" borderId="12" xfId="0" applyFont="1" applyFill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center"/>
    </xf>
    <xf numFmtId="0" fontId="84" fillId="32" borderId="0" xfId="0" applyFont="1" applyFill="1" applyBorder="1" applyAlignment="1">
      <alignment horizontal="center"/>
    </xf>
    <xf numFmtId="181" fontId="30" fillId="35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1" fontId="30" fillId="37" borderId="15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wrapText="1"/>
    </xf>
    <xf numFmtId="181" fontId="30" fillId="34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0" fillId="0" borderId="32" xfId="0" applyFont="1" applyBorder="1" applyAlignment="1">
      <alignment horizontal="left" wrapText="1"/>
    </xf>
    <xf numFmtId="0" fontId="36" fillId="0" borderId="12" xfId="0" applyFont="1" applyFill="1" applyBorder="1" applyAlignment="1">
      <alignment horizontal="center" vertical="center" textRotation="90" wrapText="1"/>
    </xf>
    <xf numFmtId="0" fontId="35" fillId="0" borderId="2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wrapText="1"/>
    </xf>
    <xf numFmtId="181" fontId="30" fillId="37" borderId="11" xfId="0" applyNumberFormat="1" applyFont="1" applyFill="1" applyBorder="1" applyAlignment="1">
      <alignment horizontal="center" vertical="center"/>
    </xf>
    <xf numFmtId="181" fontId="30" fillId="35" borderId="11" xfId="0" applyNumberFormat="1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left" vertical="center"/>
    </xf>
    <xf numFmtId="0" fontId="34" fillId="35" borderId="11" xfId="0" applyFont="1" applyFill="1" applyBorder="1" applyAlignment="1">
      <alignment horizontal="left" vertical="center"/>
    </xf>
    <xf numFmtId="181" fontId="30" fillId="34" borderId="11" xfId="0" applyNumberFormat="1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48" fillId="32" borderId="0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32" borderId="11" xfId="0" applyFont="1" applyFill="1" applyBorder="1" applyAlignment="1">
      <alignment vertical="center" wrapText="1"/>
    </xf>
    <xf numFmtId="0" fontId="56" fillId="32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0" fontId="53" fillId="32" borderId="0" xfId="0" applyFont="1" applyFill="1" applyBorder="1" applyAlignment="1">
      <alignment horizontal="center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60" fillId="33" borderId="24" xfId="0" applyFont="1" applyFill="1" applyBorder="1" applyAlignment="1">
      <alignment horizontal="center" vertical="center" textRotation="90" wrapText="1"/>
    </xf>
    <xf numFmtId="0" fontId="60" fillId="34" borderId="24" xfId="0" applyFont="1" applyFill="1" applyBorder="1" applyAlignment="1">
      <alignment horizontal="center" vertical="center" textRotation="90" wrapText="1"/>
    </xf>
    <xf numFmtId="0" fontId="60" fillId="0" borderId="24" xfId="0" applyFont="1" applyFill="1" applyBorder="1" applyAlignment="1">
      <alignment horizontal="center" vertical="center" textRotation="90" wrapText="1"/>
    </xf>
    <xf numFmtId="0" fontId="60" fillId="0" borderId="0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181" fontId="49" fillId="37" borderId="11" xfId="0" applyNumberFormat="1" applyFont="1" applyFill="1" applyBorder="1" applyAlignment="1">
      <alignment horizontal="center" vertical="center"/>
    </xf>
    <xf numFmtId="181" fontId="49" fillId="35" borderId="11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left"/>
    </xf>
    <xf numFmtId="181" fontId="49" fillId="34" borderId="11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right"/>
    </xf>
    <xf numFmtId="0" fontId="61" fillId="0" borderId="0" xfId="0" applyFont="1" applyFill="1" applyBorder="1" applyAlignment="1">
      <alignment horizontal="center" vertical="top" wrapText="1"/>
    </xf>
    <xf numFmtId="0" fontId="62" fillId="32" borderId="0" xfId="0" applyFont="1" applyFill="1" applyBorder="1" applyAlignment="1">
      <alignment horizontal="center" vertical="top" wrapText="1"/>
    </xf>
    <xf numFmtId="0" fontId="30" fillId="0" borderId="1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center" wrapText="1"/>
    </xf>
    <xf numFmtId="0" fontId="35" fillId="32" borderId="2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top" wrapText="1"/>
    </xf>
    <xf numFmtId="181" fontId="44" fillId="35" borderId="11" xfId="0" applyNumberFormat="1" applyFont="1" applyFill="1" applyBorder="1" applyAlignment="1">
      <alignment horizontal="center" vertical="center"/>
    </xf>
    <xf numFmtId="181" fontId="44" fillId="34" borderId="11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top" wrapText="1"/>
    </xf>
    <xf numFmtId="0" fontId="53" fillId="32" borderId="0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69" fillId="37" borderId="0" xfId="0" applyFont="1" applyFill="1" applyBorder="1" applyAlignment="1">
      <alignment horizontal="center"/>
    </xf>
    <xf numFmtId="0" fontId="75" fillId="0" borderId="0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29" fillId="0" borderId="11" xfId="0" applyFont="1" applyBorder="1" applyAlignment="1">
      <alignment/>
    </xf>
    <xf numFmtId="0" fontId="62" fillId="37" borderId="0" xfId="0" applyFont="1" applyFill="1" applyBorder="1" applyAlignment="1">
      <alignment horizontal="center"/>
    </xf>
    <xf numFmtId="0" fontId="61" fillId="38" borderId="10" xfId="0" applyFont="1" applyFill="1" applyBorder="1" applyAlignment="1">
      <alignment horizontal="center"/>
    </xf>
    <xf numFmtId="0" fontId="31" fillId="37" borderId="22" xfId="0" applyFont="1" applyFill="1" applyBorder="1" applyAlignment="1">
      <alignment horizontal="center"/>
    </xf>
    <xf numFmtId="0" fontId="90" fillId="32" borderId="11" xfId="0" applyFont="1" applyFill="1" applyBorder="1" applyAlignment="1">
      <alignment horizontal="center" vertical="center" wrapText="1"/>
    </xf>
    <xf numFmtId="0" fontId="90" fillId="32" borderId="11" xfId="0" applyFont="1" applyFill="1" applyBorder="1" applyAlignment="1">
      <alignment horizontal="center" vertical="center" textRotation="90" wrapText="1"/>
    </xf>
    <xf numFmtId="0" fontId="32" fillId="32" borderId="20" xfId="0" applyFont="1" applyFill="1" applyBorder="1" applyAlignment="1">
      <alignment horizontal="center" vertical="center" textRotation="90" wrapText="1"/>
    </xf>
    <xf numFmtId="0" fontId="9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5" fillId="32" borderId="12" xfId="0" applyFont="1" applyFill="1" applyBorder="1" applyAlignment="1">
      <alignment horizontal="center" vertical="center" wrapText="1"/>
    </xf>
    <xf numFmtId="0" fontId="35" fillId="32" borderId="20" xfId="0" applyFont="1" applyFill="1" applyBorder="1" applyAlignment="1">
      <alignment horizontal="center" vertical="center" textRotation="90" wrapText="1"/>
    </xf>
    <xf numFmtId="0" fontId="31" fillId="34" borderId="11" xfId="0" applyFont="1" applyFill="1" applyBorder="1" applyAlignment="1">
      <alignment horizontal="center" vertical="center"/>
    </xf>
    <xf numFmtId="0" fontId="31" fillId="32" borderId="11" xfId="0" applyFont="1" applyFill="1" applyBorder="1" applyAlignment="1">
      <alignment horizontal="center" vertical="center" textRotation="90" wrapText="1"/>
    </xf>
    <xf numFmtId="0" fontId="35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53" fillId="32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B131"/>
  <sheetViews>
    <sheetView tabSelected="1" zoomScale="75" zoomScaleNormal="75" zoomScaleSheetLayoutView="86" zoomScalePageLayoutView="0" workbookViewId="0" topLeftCell="A7">
      <pane xSplit="1" topLeftCell="B1" activePane="topRight" state="frozen"/>
      <selection pane="topLeft" activeCell="A110" sqref="A110"/>
      <selection pane="topRight" activeCell="D15" sqref="D15"/>
    </sheetView>
  </sheetViews>
  <sheetFormatPr defaultColWidth="9.00390625" defaultRowHeight="12.75"/>
  <cols>
    <col min="1" max="1" width="4.375" style="1" customWidth="1"/>
    <col min="2" max="2" width="28.25390625" style="1" customWidth="1"/>
    <col min="3" max="3" width="19.125" style="1" customWidth="1"/>
    <col min="4" max="4" width="11.125" style="1" customWidth="1"/>
    <col min="5" max="5" width="11.625" style="1" customWidth="1"/>
    <col min="6" max="6" width="7.75390625" style="1" customWidth="1"/>
    <col min="7" max="7" width="4.00390625" style="1" customWidth="1"/>
    <col min="8" max="8" width="13.625" style="1" customWidth="1"/>
    <col min="9" max="9" width="12.75390625" style="1" customWidth="1"/>
    <col min="10" max="10" width="11.875" style="1" customWidth="1"/>
    <col min="11" max="11" width="8.75390625" style="1" customWidth="1"/>
    <col min="12" max="12" width="9.75390625" style="1" customWidth="1"/>
    <col min="13" max="13" width="13.00390625" style="1" customWidth="1"/>
    <col min="14" max="14" width="15.00390625" style="1" customWidth="1"/>
    <col min="15" max="15" width="10.75390625" style="768" customWidth="1"/>
    <col min="16" max="16" width="10.25390625" style="768" customWidth="1"/>
    <col min="17" max="17" width="7.875" style="1" customWidth="1"/>
    <col min="18" max="18" width="11.625" style="1" customWidth="1"/>
    <col min="19" max="19" width="8.875" style="1" customWidth="1"/>
    <col min="20" max="20" width="9.375" style="1" customWidth="1"/>
    <col min="21" max="21" width="8.625" style="1" customWidth="1"/>
    <col min="22" max="22" width="8.75390625" style="1" customWidth="1"/>
    <col min="23" max="23" width="9.75390625" style="2" customWidth="1"/>
    <col min="24" max="24" width="12.75390625" style="1" customWidth="1"/>
    <col min="25" max="25" width="12.00390625" style="1" customWidth="1"/>
    <col min="26" max="26" width="10.125" style="1" customWidth="1"/>
    <col min="27" max="27" width="7.00390625" style="1" customWidth="1"/>
    <col min="28" max="28" width="14.75390625" style="1" customWidth="1"/>
    <col min="29" max="16384" width="9.125" style="1" customWidth="1"/>
  </cols>
  <sheetData>
    <row r="1" ht="12.75">
      <c r="Z1" s="1" t="s">
        <v>0</v>
      </c>
    </row>
    <row r="3" spans="1:28" s="4" customFormat="1" ht="87.75" customHeight="1">
      <c r="A3" s="3"/>
      <c r="B3" s="3"/>
      <c r="C3" s="866" t="s">
        <v>426</v>
      </c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</row>
    <row r="4" spans="1:28" s="4" customFormat="1" ht="24.75" customHeight="1">
      <c r="A4" s="3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69"/>
      <c r="P4" s="769"/>
      <c r="Q4" s="5"/>
      <c r="R4" s="5"/>
      <c r="S4" s="5"/>
      <c r="T4" s="5"/>
      <c r="U4" s="5"/>
      <c r="V4" s="5"/>
      <c r="W4" s="7"/>
      <c r="X4" s="5"/>
      <c r="Y4" s="5"/>
      <c r="Z4" s="5"/>
      <c r="AA4" s="5"/>
      <c r="AB4" s="5"/>
    </row>
    <row r="5" spans="1:28" ht="12" customHeight="1">
      <c r="A5" s="867" t="s">
        <v>1</v>
      </c>
      <c r="B5" s="868" t="s">
        <v>2</v>
      </c>
      <c r="C5" s="868" t="s">
        <v>3</v>
      </c>
      <c r="D5" s="869" t="s">
        <v>4</v>
      </c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70" t="s">
        <v>5</v>
      </c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63" t="s">
        <v>6</v>
      </c>
      <c r="AA5" s="863"/>
      <c r="AB5" s="864" t="s">
        <v>7</v>
      </c>
    </row>
    <row r="6" spans="1:28" s="11" customFormat="1" ht="99" customHeight="1">
      <c r="A6" s="867"/>
      <c r="B6" s="868"/>
      <c r="C6" s="868"/>
      <c r="D6" s="865" t="s">
        <v>8</v>
      </c>
      <c r="E6" s="865" t="s">
        <v>9</v>
      </c>
      <c r="F6" s="861" t="s">
        <v>10</v>
      </c>
      <c r="G6" s="871" t="s">
        <v>11</v>
      </c>
      <c r="H6" s="871"/>
      <c r="I6" s="861" t="s">
        <v>12</v>
      </c>
      <c r="J6" s="861" t="s">
        <v>13</v>
      </c>
      <c r="K6" s="857" t="s">
        <v>14</v>
      </c>
      <c r="L6" s="857"/>
      <c r="M6" s="858" t="s">
        <v>15</v>
      </c>
      <c r="N6" s="858"/>
      <c r="O6" s="872" t="s">
        <v>16</v>
      </c>
      <c r="P6" s="873" t="s">
        <v>17</v>
      </c>
      <c r="Q6" s="861" t="s">
        <v>18</v>
      </c>
      <c r="R6" s="862" t="s">
        <v>11</v>
      </c>
      <c r="S6" s="862"/>
      <c r="T6" s="861" t="s">
        <v>19</v>
      </c>
      <c r="U6" s="861" t="s">
        <v>20</v>
      </c>
      <c r="V6" s="857" t="s">
        <v>14</v>
      </c>
      <c r="W6" s="857"/>
      <c r="X6" s="858" t="s">
        <v>21</v>
      </c>
      <c r="Y6" s="858"/>
      <c r="Z6" s="863"/>
      <c r="AA6" s="863"/>
      <c r="AB6" s="864"/>
    </row>
    <row r="7" spans="1:28" s="11" customFormat="1" ht="126" customHeight="1">
      <c r="A7" s="867"/>
      <c r="B7" s="868"/>
      <c r="C7" s="868"/>
      <c r="D7" s="865"/>
      <c r="E7" s="865"/>
      <c r="F7" s="861"/>
      <c r="G7" s="10" t="s">
        <v>22</v>
      </c>
      <c r="H7" s="12" t="s">
        <v>23</v>
      </c>
      <c r="I7" s="861"/>
      <c r="J7" s="861"/>
      <c r="K7" s="10" t="s">
        <v>22</v>
      </c>
      <c r="L7" s="10" t="s">
        <v>24</v>
      </c>
      <c r="M7" s="13" t="s">
        <v>25</v>
      </c>
      <c r="N7" s="14" t="s">
        <v>26</v>
      </c>
      <c r="O7" s="872"/>
      <c r="P7" s="873"/>
      <c r="Q7" s="861"/>
      <c r="R7" s="10" t="s">
        <v>22</v>
      </c>
      <c r="S7" s="15" t="s">
        <v>23</v>
      </c>
      <c r="T7" s="861"/>
      <c r="U7" s="861"/>
      <c r="V7" s="10" t="s">
        <v>22</v>
      </c>
      <c r="W7" s="16" t="s">
        <v>27</v>
      </c>
      <c r="X7" s="13" t="s">
        <v>28</v>
      </c>
      <c r="Y7" s="14" t="s">
        <v>29</v>
      </c>
      <c r="Z7" s="17" t="s">
        <v>30</v>
      </c>
      <c r="AA7" s="13" t="s">
        <v>31</v>
      </c>
      <c r="AB7" s="864"/>
    </row>
    <row r="8" spans="1:28" s="11" customFormat="1" ht="16.5" customHeight="1">
      <c r="A8" s="867"/>
      <c r="B8" s="868"/>
      <c r="C8" s="868"/>
      <c r="D8" s="18" t="s">
        <v>32</v>
      </c>
      <c r="E8" s="9" t="s">
        <v>32</v>
      </c>
      <c r="F8" s="9" t="s">
        <v>33</v>
      </c>
      <c r="G8" s="19"/>
      <c r="H8" s="19"/>
      <c r="I8" s="9" t="s">
        <v>34</v>
      </c>
      <c r="J8" s="19" t="s">
        <v>35</v>
      </c>
      <c r="K8" s="19"/>
      <c r="L8" s="20"/>
      <c r="M8" s="18" t="s">
        <v>36</v>
      </c>
      <c r="N8" s="9" t="s">
        <v>36</v>
      </c>
      <c r="O8" s="770" t="s">
        <v>32</v>
      </c>
      <c r="P8" s="771" t="s">
        <v>32</v>
      </c>
      <c r="Q8" s="9" t="s">
        <v>33</v>
      </c>
      <c r="R8" s="19"/>
      <c r="S8" s="9"/>
      <c r="T8" s="9" t="s">
        <v>34</v>
      </c>
      <c r="U8" s="19" t="s">
        <v>35</v>
      </c>
      <c r="V8" s="19"/>
      <c r="W8" s="21"/>
      <c r="X8" s="18" t="s">
        <v>36</v>
      </c>
      <c r="Y8" s="9" t="s">
        <v>36</v>
      </c>
      <c r="Z8" s="9" t="s">
        <v>33</v>
      </c>
      <c r="AA8" s="18" t="s">
        <v>33</v>
      </c>
      <c r="AB8" s="9" t="s">
        <v>36</v>
      </c>
    </row>
    <row r="9" spans="1:28" s="23" customFormat="1" ht="12">
      <c r="A9" s="8">
        <v>1</v>
      </c>
      <c r="B9" s="8">
        <f aca="true" t="shared" si="0" ref="B9:AB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 t="shared" si="0"/>
        <v>10</v>
      </c>
      <c r="K9" s="8">
        <f t="shared" si="0"/>
        <v>11</v>
      </c>
      <c r="L9" s="8">
        <f t="shared" si="0"/>
        <v>12</v>
      </c>
      <c r="M9" s="8">
        <f t="shared" si="0"/>
        <v>13</v>
      </c>
      <c r="N9" s="8">
        <f t="shared" si="0"/>
        <v>14</v>
      </c>
      <c r="O9" s="772">
        <f t="shared" si="0"/>
        <v>15</v>
      </c>
      <c r="P9" s="771">
        <f t="shared" si="0"/>
        <v>16</v>
      </c>
      <c r="Q9" s="9">
        <f t="shared" si="0"/>
        <v>17</v>
      </c>
      <c r="R9" s="8">
        <f t="shared" si="0"/>
        <v>18</v>
      </c>
      <c r="S9" s="8">
        <f t="shared" si="0"/>
        <v>19</v>
      </c>
      <c r="T9" s="8">
        <f t="shared" si="0"/>
        <v>20</v>
      </c>
      <c r="U9" s="8">
        <f t="shared" si="0"/>
        <v>21</v>
      </c>
      <c r="V9" s="8">
        <f t="shared" si="0"/>
        <v>22</v>
      </c>
      <c r="W9" s="22">
        <f t="shared" si="0"/>
        <v>23</v>
      </c>
      <c r="X9" s="8">
        <f t="shared" si="0"/>
        <v>24</v>
      </c>
      <c r="Y9" s="8">
        <f t="shared" si="0"/>
        <v>25</v>
      </c>
      <c r="Z9" s="9">
        <f t="shared" si="0"/>
        <v>26</v>
      </c>
      <c r="AA9" s="9">
        <f t="shared" si="0"/>
        <v>27</v>
      </c>
      <c r="AB9" s="8">
        <f t="shared" si="0"/>
        <v>28</v>
      </c>
    </row>
    <row r="10" spans="1:28" s="25" customFormat="1" ht="24.75" customHeight="1">
      <c r="A10" s="24"/>
      <c r="B10" s="859" t="s">
        <v>417</v>
      </c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  <c r="P10" s="859"/>
      <c r="Q10" s="859"/>
      <c r="R10" s="859"/>
      <c r="S10" s="859"/>
      <c r="T10" s="859"/>
      <c r="U10" s="859"/>
      <c r="V10" s="859"/>
      <c r="W10" s="859"/>
      <c r="X10" s="859"/>
      <c r="Y10" s="859"/>
      <c r="Z10" s="859"/>
      <c r="AA10" s="859"/>
      <c r="AB10" s="859"/>
    </row>
    <row r="11" spans="1:28" s="25" customFormat="1" ht="13.5" customHeight="1">
      <c r="A11" s="24"/>
      <c r="B11" s="860" t="s">
        <v>37</v>
      </c>
      <c r="C11" s="860"/>
      <c r="D11" s="860"/>
      <c r="E11" s="860"/>
      <c r="F11" s="860"/>
      <c r="G11" s="860"/>
      <c r="H11" s="860"/>
      <c r="I11" s="860"/>
      <c r="J11" s="860"/>
      <c r="K11" s="860"/>
      <c r="L11" s="860"/>
      <c r="M11" s="860"/>
      <c r="N11" s="860"/>
      <c r="O11" s="860"/>
      <c r="P11" s="860"/>
      <c r="Q11" s="860"/>
      <c r="R11" s="860"/>
      <c r="S11" s="860"/>
      <c r="T11" s="860"/>
      <c r="U11" s="860"/>
      <c r="V11" s="860"/>
      <c r="W11" s="860"/>
      <c r="X11" s="860"/>
      <c r="Y11" s="860"/>
      <c r="Z11" s="860"/>
      <c r="AA11" s="860"/>
      <c r="AB11" s="860"/>
    </row>
    <row r="12" spans="1:28" s="31" customFormat="1" ht="22.5" customHeight="1">
      <c r="A12" s="26"/>
      <c r="B12" s="854" t="s">
        <v>38</v>
      </c>
      <c r="C12" s="854"/>
      <c r="D12" s="85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773"/>
      <c r="P12" s="774"/>
      <c r="Q12" s="28"/>
      <c r="R12" s="27"/>
      <c r="S12" s="27"/>
      <c r="T12" s="27"/>
      <c r="U12" s="27"/>
      <c r="V12" s="27"/>
      <c r="W12" s="29"/>
      <c r="X12" s="27"/>
      <c r="Y12" s="27"/>
      <c r="Z12" s="28"/>
      <c r="AA12" s="28"/>
      <c r="AB12" s="30"/>
    </row>
    <row r="13" spans="1:28" s="45" customFormat="1" ht="29.25" customHeight="1">
      <c r="A13" s="32">
        <v>1</v>
      </c>
      <c r="B13" s="33" t="s">
        <v>39</v>
      </c>
      <c r="C13" s="34" t="s">
        <v>40</v>
      </c>
      <c r="D13" s="35">
        <f>ROUND(M13/L13,5)</f>
        <v>1615.63997</v>
      </c>
      <c r="E13" s="35">
        <f>ROUND(N13/L13,5)</f>
        <v>1287.47973</v>
      </c>
      <c r="F13" s="36">
        <f>ROUND(E13/D13%,1)</f>
        <v>79.7</v>
      </c>
      <c r="G13" s="37" t="s">
        <v>41</v>
      </c>
      <c r="H13" s="35">
        <f>ROUND(L13/I13/5,9)</f>
        <v>0.047280426</v>
      </c>
      <c r="I13" s="38">
        <f>I14+I15</f>
        <v>4.59116</v>
      </c>
      <c r="J13" s="39">
        <f>J14+J15</f>
        <v>207</v>
      </c>
      <c r="K13" s="34" t="s">
        <v>42</v>
      </c>
      <c r="L13" s="40">
        <f>L14+L15</f>
        <v>1.08536</v>
      </c>
      <c r="M13" s="41">
        <f>M14+M15</f>
        <v>1753.551</v>
      </c>
      <c r="N13" s="41">
        <f>N14+N15</f>
        <v>1397.379</v>
      </c>
      <c r="O13" s="775">
        <f>ROUND(X13/W13,5)</f>
        <v>1615.6401</v>
      </c>
      <c r="P13" s="775">
        <f>ROUND(Y13/W13,5)</f>
        <v>1287.48011</v>
      </c>
      <c r="Q13" s="36">
        <f>ROUND(P13/O13%,1)</f>
        <v>79.7</v>
      </c>
      <c r="R13" s="37" t="s">
        <v>41</v>
      </c>
      <c r="S13" s="35">
        <f>ROUND(W13/T13/5,5)</f>
        <v>0.04728</v>
      </c>
      <c r="T13" s="38">
        <f>T14+T15</f>
        <v>18.424</v>
      </c>
      <c r="U13" s="39">
        <f>U14+U15</f>
        <v>856</v>
      </c>
      <c r="V13" s="37" t="s">
        <v>42</v>
      </c>
      <c r="W13" s="42">
        <f>W14+W15</f>
        <v>4.35547</v>
      </c>
      <c r="X13" s="41">
        <f>X14+X15</f>
        <v>7036.872</v>
      </c>
      <c r="Y13" s="41">
        <f>Y14+Y15</f>
        <v>5607.581</v>
      </c>
      <c r="Z13" s="43">
        <f aca="true" t="shared" si="1" ref="Z13:AA15">ROUND(X13/M13,4)</f>
        <v>4.0129</v>
      </c>
      <c r="AA13" s="43">
        <f t="shared" si="1"/>
        <v>4.0129</v>
      </c>
      <c r="AB13" s="44">
        <f>X13-Y13</f>
        <v>1429.2910000000002</v>
      </c>
    </row>
    <row r="14" spans="1:28" s="45" customFormat="1" ht="46.5" customHeight="1">
      <c r="A14" s="46" t="s">
        <v>43</v>
      </c>
      <c r="B14" s="47" t="s">
        <v>44</v>
      </c>
      <c r="C14" s="34" t="s">
        <v>40</v>
      </c>
      <c r="D14" s="35"/>
      <c r="E14" s="35"/>
      <c r="F14" s="36" t="e">
        <f>ROUND(E14/D14%,1)</f>
        <v>#DIV/0!</v>
      </c>
      <c r="G14" s="37" t="s">
        <v>41</v>
      </c>
      <c r="H14" s="48" t="s">
        <v>45</v>
      </c>
      <c r="I14" s="49"/>
      <c r="J14" s="50"/>
      <c r="K14" s="34" t="s">
        <v>42</v>
      </c>
      <c r="L14" s="51"/>
      <c r="M14" s="52">
        <f>ROUND(D14*L14,3)</f>
        <v>0</v>
      </c>
      <c r="N14" s="52">
        <f>ROUND(E14*L14,3)</f>
        <v>0</v>
      </c>
      <c r="O14" s="775"/>
      <c r="P14" s="775"/>
      <c r="Q14" s="36" t="e">
        <f>ROUND(P14/O14%,1)</f>
        <v>#DIV/0!</v>
      </c>
      <c r="R14" s="37" t="s">
        <v>41</v>
      </c>
      <c r="S14" s="48" t="s">
        <v>45</v>
      </c>
      <c r="T14" s="53"/>
      <c r="U14" s="50"/>
      <c r="V14" s="54" t="s">
        <v>46</v>
      </c>
      <c r="W14" s="55">
        <f>L14</f>
        <v>0</v>
      </c>
      <c r="X14" s="52">
        <f>ROUND(O14*W14,3)</f>
        <v>0</v>
      </c>
      <c r="Y14" s="52">
        <f>ROUND(P14*W14,3)</f>
        <v>0</v>
      </c>
      <c r="Z14" s="56" t="e">
        <f t="shared" si="1"/>
        <v>#DIV/0!</v>
      </c>
      <c r="AA14" s="56" t="e">
        <f t="shared" si="1"/>
        <v>#DIV/0!</v>
      </c>
      <c r="AB14" s="57">
        <f>X14-Y14</f>
        <v>0</v>
      </c>
    </row>
    <row r="15" spans="1:28" s="45" customFormat="1" ht="36" customHeight="1">
      <c r="A15" s="58" t="s">
        <v>47</v>
      </c>
      <c r="B15" s="47" t="s">
        <v>48</v>
      </c>
      <c r="C15" s="34" t="s">
        <v>40</v>
      </c>
      <c r="D15" s="35">
        <v>1615.64</v>
      </c>
      <c r="E15" s="35">
        <v>1287.48</v>
      </c>
      <c r="F15" s="36">
        <f>ROUND(E15/D15%,1)</f>
        <v>79.7</v>
      </c>
      <c r="G15" s="37" t="s">
        <v>41</v>
      </c>
      <c r="H15" s="35">
        <f>'норм отопл  (2-1) '!E16</f>
        <v>0.04728043</v>
      </c>
      <c r="I15" s="49">
        <f>'норм отопл  (2-1) '!G16</f>
        <v>4.59116</v>
      </c>
      <c r="J15" s="50">
        <f>'норм отопл  (2-1) '!H16</f>
        <v>207</v>
      </c>
      <c r="K15" s="34" t="s">
        <v>42</v>
      </c>
      <c r="L15" s="59">
        <f>ROUND(H15*I15*5,5)</f>
        <v>1.08536</v>
      </c>
      <c r="M15" s="52">
        <f>ROUND(D15*L15,3)</f>
        <v>1753.551</v>
      </c>
      <c r="N15" s="52">
        <f>ROUND(E15*L15,3)</f>
        <v>1397.379</v>
      </c>
      <c r="O15" s="775">
        <v>1615.64</v>
      </c>
      <c r="P15" s="775">
        <v>1287.48</v>
      </c>
      <c r="Q15" s="36">
        <f>ROUND(P15/O15%,1)</f>
        <v>79.7</v>
      </c>
      <c r="R15" s="37" t="s">
        <v>41</v>
      </c>
      <c r="S15" s="35">
        <f>'норм отопл  (2-1) '!J16</f>
        <v>0.04728043</v>
      </c>
      <c r="T15" s="49">
        <v>18.424</v>
      </c>
      <c r="U15" s="50">
        <v>856</v>
      </c>
      <c r="V15" s="54" t="s">
        <v>42</v>
      </c>
      <c r="W15" s="55">
        <f>ROUND(S15*T15*5,5)</f>
        <v>4.35547</v>
      </c>
      <c r="X15" s="52">
        <f>ROUND(O15*W15,3)</f>
        <v>7036.872</v>
      </c>
      <c r="Y15" s="52">
        <f>ROUND(P15*W15,3)</f>
        <v>5607.581</v>
      </c>
      <c r="Z15" s="56">
        <f t="shared" si="1"/>
        <v>4.0129</v>
      </c>
      <c r="AA15" s="56">
        <f t="shared" si="1"/>
        <v>4.0129</v>
      </c>
      <c r="AB15" s="57">
        <f>X15-Y15</f>
        <v>1429.2910000000002</v>
      </c>
    </row>
    <row r="16" spans="1:28" s="45" customFormat="1" ht="6" customHeight="1">
      <c r="A16" s="60"/>
      <c r="B16" s="61"/>
      <c r="C16" s="62"/>
      <c r="D16" s="35"/>
      <c r="E16" s="35"/>
      <c r="F16" s="36"/>
      <c r="G16" s="37"/>
      <c r="H16" s="63"/>
      <c r="I16" s="53"/>
      <c r="J16" s="64"/>
      <c r="K16" s="37"/>
      <c r="L16" s="65"/>
      <c r="M16" s="53"/>
      <c r="N16" s="53"/>
      <c r="O16" s="775"/>
      <c r="P16" s="775"/>
      <c r="Q16" s="36"/>
      <c r="R16" s="37"/>
      <c r="S16" s="66"/>
      <c r="T16" s="50"/>
      <c r="U16" s="64"/>
      <c r="V16" s="37"/>
      <c r="W16" s="55"/>
      <c r="X16" s="53"/>
      <c r="Y16" s="53"/>
      <c r="Z16" s="56"/>
      <c r="AA16" s="56"/>
      <c r="AB16" s="57"/>
    </row>
    <row r="17" spans="1:28" s="70" customFormat="1" ht="12.75" customHeight="1">
      <c r="A17" s="32">
        <v>2</v>
      </c>
      <c r="B17" s="855" t="s">
        <v>49</v>
      </c>
      <c r="C17" s="855"/>
      <c r="D17" s="35">
        <f>ROUND(M17/L17,5)</f>
        <v>202.70137</v>
      </c>
      <c r="E17" s="35">
        <f>ROUND(N17/L17,5)</f>
        <v>202.70137</v>
      </c>
      <c r="F17" s="67"/>
      <c r="G17" s="68"/>
      <c r="H17" s="35">
        <f>ROUND(L17/J17/5*1000,9)</f>
        <v>174.130096618</v>
      </c>
      <c r="I17" s="69">
        <f>I18+I20</f>
        <v>4.59016</v>
      </c>
      <c r="J17" s="39">
        <f>J18+J20</f>
        <v>207</v>
      </c>
      <c r="K17" s="68"/>
      <c r="L17" s="40">
        <f>L19+L21</f>
        <v>180.22465</v>
      </c>
      <c r="M17" s="41">
        <f>M18+M20+M21</f>
        <v>36531.783</v>
      </c>
      <c r="N17" s="41">
        <f>N18+N20+N21</f>
        <v>36531.783</v>
      </c>
      <c r="O17" s="775">
        <f>ROUND(X17/W17,5)</f>
        <v>202.70137</v>
      </c>
      <c r="P17" s="775">
        <f>ROUND(Y17/W17,5)</f>
        <v>202.70137</v>
      </c>
      <c r="Q17" s="67"/>
      <c r="R17" s="68"/>
      <c r="S17" s="35">
        <f>ROUND(W17/U17/5*1000,5)</f>
        <v>174.1301</v>
      </c>
      <c r="T17" s="69">
        <f>T18+T20</f>
        <v>4.59016</v>
      </c>
      <c r="U17" s="39">
        <f>U18+U20</f>
        <v>207</v>
      </c>
      <c r="V17" s="68"/>
      <c r="W17" s="42">
        <f>W19+W21</f>
        <v>180.22465</v>
      </c>
      <c r="X17" s="41">
        <f>X18+X20+X21</f>
        <v>36531.783</v>
      </c>
      <c r="Y17" s="41">
        <f>Y18+Y20+Y21</f>
        <v>36531.783</v>
      </c>
      <c r="Z17" s="43">
        <f>ROUND(X17/M17,4)</f>
        <v>1</v>
      </c>
      <c r="AA17" s="43">
        <f>ROUND(Y17/N17,4)</f>
        <v>1</v>
      </c>
      <c r="AB17" s="44">
        <f>AB18+AB20+AB21</f>
        <v>0</v>
      </c>
    </row>
    <row r="18" spans="1:28" s="45" customFormat="1" ht="70.5" customHeight="1">
      <c r="A18" s="46" t="s">
        <v>50</v>
      </c>
      <c r="B18" s="71" t="s">
        <v>51</v>
      </c>
      <c r="C18" s="72" t="s">
        <v>40</v>
      </c>
      <c r="D18" s="35"/>
      <c r="E18" s="35"/>
      <c r="F18" s="36"/>
      <c r="G18" s="37"/>
      <c r="H18" s="48" t="s">
        <v>45</v>
      </c>
      <c r="I18" s="49"/>
      <c r="J18" s="50"/>
      <c r="K18" s="54" t="s">
        <v>42</v>
      </c>
      <c r="L18" s="73"/>
      <c r="M18" s="52"/>
      <c r="N18" s="52"/>
      <c r="O18" s="775"/>
      <c r="P18" s="775"/>
      <c r="Q18" s="36"/>
      <c r="R18" s="37"/>
      <c r="S18" s="48" t="s">
        <v>45</v>
      </c>
      <c r="T18" s="53"/>
      <c r="U18" s="50"/>
      <c r="V18" s="54" t="s">
        <v>42</v>
      </c>
      <c r="W18" s="55"/>
      <c r="X18" s="52"/>
      <c r="Y18" s="52"/>
      <c r="Z18" s="56"/>
      <c r="AA18" s="56"/>
      <c r="AB18" s="57"/>
    </row>
    <row r="19" spans="1:28" s="45" customFormat="1" ht="76.5" customHeight="1">
      <c r="A19" s="46" t="s">
        <v>52</v>
      </c>
      <c r="B19" s="71" t="s">
        <v>53</v>
      </c>
      <c r="C19" s="74" t="s">
        <v>54</v>
      </c>
      <c r="D19" s="35"/>
      <c r="E19" s="35"/>
      <c r="F19" s="36"/>
      <c r="G19" s="37"/>
      <c r="H19" s="48" t="s">
        <v>45</v>
      </c>
      <c r="I19" s="49"/>
      <c r="J19" s="50"/>
      <c r="K19" s="74" t="s">
        <v>55</v>
      </c>
      <c r="L19" s="73"/>
      <c r="M19" s="52"/>
      <c r="N19" s="52"/>
      <c r="O19" s="775"/>
      <c r="P19" s="775"/>
      <c r="Q19" s="36"/>
      <c r="R19" s="37"/>
      <c r="S19" s="48" t="s">
        <v>45</v>
      </c>
      <c r="T19" s="53"/>
      <c r="U19" s="50"/>
      <c r="V19" s="54" t="s">
        <v>56</v>
      </c>
      <c r="W19" s="55"/>
      <c r="X19" s="52"/>
      <c r="Y19" s="52"/>
      <c r="Z19" s="56"/>
      <c r="AA19" s="56"/>
      <c r="AB19" s="57"/>
    </row>
    <row r="20" spans="1:28" s="45" customFormat="1" ht="67.5" customHeight="1">
      <c r="A20" s="58" t="s">
        <v>57</v>
      </c>
      <c r="B20" s="71" t="s">
        <v>58</v>
      </c>
      <c r="C20" s="34" t="s">
        <v>40</v>
      </c>
      <c r="D20" s="35">
        <f>'ГВС  плата  базов. (3-2)'!D21</f>
        <v>2411.049988</v>
      </c>
      <c r="E20" s="35">
        <f>'ГВС  плата  базов. (3-2)'!G21</f>
        <v>2411.049988</v>
      </c>
      <c r="F20" s="36">
        <f>ROUND(E20/D20%,1)</f>
        <v>100</v>
      </c>
      <c r="G20" s="37" t="s">
        <v>59</v>
      </c>
      <c r="H20" s="35">
        <f>'норм. ГВС  (3-1)'!F24</f>
        <v>11.99756522</v>
      </c>
      <c r="I20" s="49">
        <f>'норм. ГВС  (3-1)'!I24</f>
        <v>4.59016</v>
      </c>
      <c r="J20" s="50">
        <f>'норм. ГВС  (3-1)'!J24</f>
        <v>207</v>
      </c>
      <c r="K20" s="34" t="s">
        <v>42</v>
      </c>
      <c r="L20" s="65">
        <f>ROUND(H20*J20*5/1000,5)</f>
        <v>12.41748</v>
      </c>
      <c r="M20" s="52">
        <f>ROUND(D20*L20,3)</f>
        <v>29939.165</v>
      </c>
      <c r="N20" s="52">
        <f>ROUND(E20*L20,3)</f>
        <v>29939.165</v>
      </c>
      <c r="O20" s="775">
        <f>'ГВС  1 пол.плата(3-3)'!D20</f>
        <v>2411.049988</v>
      </c>
      <c r="P20" s="775">
        <f>'ГВС  1 пол.плата(3-3)'!G20</f>
        <v>2411.049988</v>
      </c>
      <c r="Q20" s="36">
        <f>ROUND(P20/O20%,1)</f>
        <v>100</v>
      </c>
      <c r="R20" s="37" t="s">
        <v>59</v>
      </c>
      <c r="S20" s="35">
        <f>'норм. ГВС  (3-1)'!M24</f>
        <v>11.99756522</v>
      </c>
      <c r="T20" s="53">
        <f>'норм. ГВС  (3-1)'!P24</f>
        <v>4.59016</v>
      </c>
      <c r="U20" s="50">
        <f>'норм. ГВС  (3-1)'!Q24</f>
        <v>207</v>
      </c>
      <c r="V20" s="54" t="s">
        <v>42</v>
      </c>
      <c r="W20" s="75">
        <f>ROUND(S20*U20*5/1000,5)</f>
        <v>12.41748</v>
      </c>
      <c r="X20" s="52">
        <f>ROUND(O20*W20,3)</f>
        <v>29939.165</v>
      </c>
      <c r="Y20" s="52">
        <f>ROUND(P20*W20,3)</f>
        <v>29939.165</v>
      </c>
      <c r="Z20" s="56">
        <f>ROUND(X20/M20,4)</f>
        <v>1</v>
      </c>
      <c r="AA20" s="56">
        <f>ROUND(Y20/N20,4)</f>
        <v>1</v>
      </c>
      <c r="AB20" s="57">
        <f>X20-Y20</f>
        <v>0</v>
      </c>
    </row>
    <row r="21" spans="1:28" s="45" customFormat="1" ht="70.5" customHeight="1">
      <c r="A21" s="58" t="s">
        <v>60</v>
      </c>
      <c r="B21" s="71" t="s">
        <v>61</v>
      </c>
      <c r="C21" s="72" t="s">
        <v>62</v>
      </c>
      <c r="D21" s="35">
        <v>36.58</v>
      </c>
      <c r="E21" s="35">
        <v>36.58</v>
      </c>
      <c r="F21" s="36">
        <f>ROUND(E21/D21%,1)</f>
        <v>100</v>
      </c>
      <c r="G21" s="37" t="s">
        <v>63</v>
      </c>
      <c r="H21" s="35">
        <f>'норм. ГВС  (3-1)'!G24</f>
        <v>174.13009662</v>
      </c>
      <c r="I21" s="49">
        <f>'норм. ГВС  (3-1)'!I24</f>
        <v>4.59016</v>
      </c>
      <c r="J21" s="50">
        <f>'норм. ГВС  (3-1)'!J24</f>
        <v>207</v>
      </c>
      <c r="K21" s="54" t="s">
        <v>46</v>
      </c>
      <c r="L21" s="65">
        <f>ROUND(H21*J21*5/1000,5)</f>
        <v>180.22465</v>
      </c>
      <c r="M21" s="52">
        <f>ROUND(D21*L21,3)</f>
        <v>6592.618</v>
      </c>
      <c r="N21" s="52">
        <f>ROUND(E21*L21,3)</f>
        <v>6592.618</v>
      </c>
      <c r="O21" s="775">
        <v>36.58</v>
      </c>
      <c r="P21" s="775">
        <v>36.58</v>
      </c>
      <c r="Q21" s="36">
        <f>ROUND(P21/O21%,1)</f>
        <v>100</v>
      </c>
      <c r="R21" s="37" t="s">
        <v>63</v>
      </c>
      <c r="S21" s="35">
        <f>'норм. ГВС  (3-1)'!N24</f>
        <v>174.13009662</v>
      </c>
      <c r="T21" s="53">
        <f>'норм. ГВС  (3-1)'!P24</f>
        <v>4.59016</v>
      </c>
      <c r="U21" s="50">
        <f>'норм. ГВС  (3-1)'!Q24</f>
        <v>207</v>
      </c>
      <c r="V21" s="54" t="s">
        <v>64</v>
      </c>
      <c r="W21" s="75">
        <f>ROUND(S21*U21*5/1000,5)</f>
        <v>180.22465</v>
      </c>
      <c r="X21" s="52">
        <f>ROUND(O21*W21,3)</f>
        <v>6592.618</v>
      </c>
      <c r="Y21" s="52">
        <f>ROUND(P21*W21,3)</f>
        <v>6592.618</v>
      </c>
      <c r="Z21" s="56">
        <f>ROUND(X21/M21,4)</f>
        <v>1</v>
      </c>
      <c r="AA21" s="56">
        <f>ROUND(Y21/N21,4)</f>
        <v>1</v>
      </c>
      <c r="AB21" s="57">
        <f>X21-Y21</f>
        <v>0</v>
      </c>
    </row>
    <row r="22" spans="1:28" s="45" customFormat="1" ht="6" customHeight="1">
      <c r="A22" s="76"/>
      <c r="B22" s="77"/>
      <c r="C22" s="78"/>
      <c r="D22" s="35"/>
      <c r="E22" s="35"/>
      <c r="F22" s="36"/>
      <c r="G22" s="37"/>
      <c r="H22" s="35"/>
      <c r="I22" s="49"/>
      <c r="J22" s="50"/>
      <c r="K22" s="74"/>
      <c r="L22" s="79"/>
      <c r="M22" s="53"/>
      <c r="N22" s="53"/>
      <c r="O22" s="775"/>
      <c r="P22" s="775"/>
      <c r="Q22" s="36"/>
      <c r="R22" s="37"/>
      <c r="S22" s="35"/>
      <c r="T22" s="50"/>
      <c r="U22" s="50"/>
      <c r="V22" s="54"/>
      <c r="W22" s="55"/>
      <c r="X22" s="53"/>
      <c r="Y22" s="53"/>
      <c r="Z22" s="56"/>
      <c r="AA22" s="56"/>
      <c r="AB22" s="57"/>
    </row>
    <row r="23" spans="1:28" s="45" customFormat="1" ht="12.75" customHeight="1">
      <c r="A23" s="32">
        <v>3</v>
      </c>
      <c r="B23" s="856" t="s">
        <v>65</v>
      </c>
      <c r="C23" s="856"/>
      <c r="D23" s="35">
        <f>ROUND(M23/L23,5)</f>
        <v>36.58</v>
      </c>
      <c r="E23" s="35">
        <f>ROUND(N23/L23,5)</f>
        <v>36.58</v>
      </c>
      <c r="F23" s="36"/>
      <c r="G23" s="37"/>
      <c r="H23" s="35">
        <f>ROUND(L23/J23/5*1000,9)</f>
        <v>293.537149758</v>
      </c>
      <c r="I23" s="69">
        <f>I24+I25</f>
        <v>4.59016</v>
      </c>
      <c r="J23" s="39">
        <f>J24+J25</f>
        <v>207</v>
      </c>
      <c r="K23" s="39"/>
      <c r="L23" s="80">
        <f>L24+L25</f>
        <v>303.81095</v>
      </c>
      <c r="M23" s="41">
        <f>M24+M25</f>
        <v>11113.405</v>
      </c>
      <c r="N23" s="41">
        <f>N24+N25</f>
        <v>11113.405</v>
      </c>
      <c r="O23" s="775">
        <f>ROUND(X23/W23,5)</f>
        <v>36.58</v>
      </c>
      <c r="P23" s="775">
        <f>ROUND(Y23/W23,5)</f>
        <v>36.58</v>
      </c>
      <c r="Q23" s="36"/>
      <c r="R23" s="37"/>
      <c r="S23" s="35">
        <f>ROUND(W23/U23/5*1000,5)</f>
        <v>293.53715</v>
      </c>
      <c r="T23" s="69">
        <f>T24+T25</f>
        <v>4.59016</v>
      </c>
      <c r="U23" s="39">
        <f>U24+U25</f>
        <v>207</v>
      </c>
      <c r="V23" s="54"/>
      <c r="W23" s="42">
        <f>W24+W25</f>
        <v>303.81095</v>
      </c>
      <c r="X23" s="41">
        <f>X24+X25</f>
        <v>11113.405</v>
      </c>
      <c r="Y23" s="41">
        <f>Y24+Y25</f>
        <v>11113.405</v>
      </c>
      <c r="Z23" s="43">
        <f aca="true" t="shared" si="2" ref="Z23:AA25">ROUND(X23/M23,4)</f>
        <v>1</v>
      </c>
      <c r="AA23" s="43">
        <f t="shared" si="2"/>
        <v>1</v>
      </c>
      <c r="AB23" s="44">
        <f>AB24+AB25</f>
        <v>0</v>
      </c>
    </row>
    <row r="24" spans="1:28" s="45" customFormat="1" ht="47.25" customHeight="1">
      <c r="A24" s="46" t="s">
        <v>66</v>
      </c>
      <c r="B24" s="81" t="s">
        <v>67</v>
      </c>
      <c r="C24" s="72" t="s">
        <v>68</v>
      </c>
      <c r="D24" s="35">
        <v>36.58</v>
      </c>
      <c r="E24" s="35">
        <v>36.58</v>
      </c>
      <c r="F24" s="36">
        <f>ROUND(E24/D24%,1)</f>
        <v>100</v>
      </c>
      <c r="G24" s="37"/>
      <c r="H24" s="48" t="s">
        <v>45</v>
      </c>
      <c r="I24" s="49">
        <f>'норм. ХВС для ЦО (4-1) '!H34</f>
        <v>0</v>
      </c>
      <c r="J24" s="64">
        <f>'норм. ХВС для ЦО (4-1) '!I34</f>
        <v>0</v>
      </c>
      <c r="K24" s="54" t="s">
        <v>46</v>
      </c>
      <c r="L24" s="82"/>
      <c r="M24" s="83">
        <f>ROUND(D24*L24,3)</f>
        <v>0</v>
      </c>
      <c r="N24" s="83">
        <f>ROUND(E24*L24,3)</f>
        <v>0</v>
      </c>
      <c r="O24" s="775">
        <v>36.58</v>
      </c>
      <c r="P24" s="775">
        <v>36.58</v>
      </c>
      <c r="Q24" s="36">
        <f>ROUND(P24/O24%,1)</f>
        <v>100</v>
      </c>
      <c r="R24" s="37"/>
      <c r="S24" s="48" t="s">
        <v>45</v>
      </c>
      <c r="T24" s="53">
        <f>'норм. ХВС для ЦО (4-1) '!M34</f>
        <v>0</v>
      </c>
      <c r="U24" s="64">
        <f>'норм. ХВС для ЦО (4-1) '!N34</f>
        <v>0</v>
      </c>
      <c r="V24" s="54" t="s">
        <v>46</v>
      </c>
      <c r="W24" s="55">
        <f>L24</f>
        <v>0</v>
      </c>
      <c r="X24" s="83">
        <f>ROUND(O24*W24,3)</f>
        <v>0</v>
      </c>
      <c r="Y24" s="83">
        <f>ROUND(P24*W24,3)</f>
        <v>0</v>
      </c>
      <c r="Z24" s="56" t="e">
        <f t="shared" si="2"/>
        <v>#DIV/0!</v>
      </c>
      <c r="AA24" s="56" t="e">
        <f t="shared" si="2"/>
        <v>#DIV/0!</v>
      </c>
      <c r="AB24" s="57">
        <f>X24-Y24</f>
        <v>0</v>
      </c>
    </row>
    <row r="25" spans="1:28" s="45" customFormat="1" ht="51" customHeight="1">
      <c r="A25" s="46" t="s">
        <v>69</v>
      </c>
      <c r="B25" s="81" t="s">
        <v>48</v>
      </c>
      <c r="C25" s="72" t="s">
        <v>68</v>
      </c>
      <c r="D25" s="35">
        <v>36.58</v>
      </c>
      <c r="E25" s="35">
        <v>36.58</v>
      </c>
      <c r="F25" s="36">
        <f>ROUND(E25/D25%,1)</f>
        <v>100</v>
      </c>
      <c r="G25" s="37" t="s">
        <v>63</v>
      </c>
      <c r="H25" s="35">
        <f>'норм. ХВС для ЦО (4-1) '!F21</f>
        <v>293.53715</v>
      </c>
      <c r="I25" s="49">
        <f>'норм. ХВС для ЦО (4-1) '!H21</f>
        <v>4.59016</v>
      </c>
      <c r="J25" s="50">
        <f>'норм. ХВС для ЦО (4-1) '!I21</f>
        <v>207</v>
      </c>
      <c r="K25" s="54" t="s">
        <v>46</v>
      </c>
      <c r="L25" s="82">
        <f>ROUND(H25*J25*5/1000,5)</f>
        <v>303.81095</v>
      </c>
      <c r="M25" s="83">
        <f>ROUND(D25*L25,3)</f>
        <v>11113.405</v>
      </c>
      <c r="N25" s="83">
        <f>ROUND(E25*L25,3)</f>
        <v>11113.405</v>
      </c>
      <c r="O25" s="775">
        <v>36.58</v>
      </c>
      <c r="P25" s="775">
        <v>36.58</v>
      </c>
      <c r="Q25" s="36">
        <f>ROUND(P25/O25%,1)</f>
        <v>100</v>
      </c>
      <c r="R25" s="37" t="s">
        <v>63</v>
      </c>
      <c r="S25" s="35">
        <f>'норм. ХВС для ЦО (4-1) '!K21</f>
        <v>293.53715</v>
      </c>
      <c r="T25" s="53">
        <f>'норм. ХВС для ЦО (4-1) '!M21</f>
        <v>4.59016</v>
      </c>
      <c r="U25" s="50">
        <f>'норм. ХВС для ЦО (4-1) '!N21</f>
        <v>207</v>
      </c>
      <c r="V25" s="54" t="s">
        <v>46</v>
      </c>
      <c r="W25" s="75">
        <f>ROUND(S25*U25*5/1000,5)</f>
        <v>303.81095</v>
      </c>
      <c r="X25" s="83">
        <f>ROUND(O25*W25,3)</f>
        <v>11113.405</v>
      </c>
      <c r="Y25" s="83">
        <f>ROUND(P25*W25,3)</f>
        <v>11113.405</v>
      </c>
      <c r="Z25" s="56">
        <f t="shared" si="2"/>
        <v>1</v>
      </c>
      <c r="AA25" s="56">
        <f t="shared" si="2"/>
        <v>1</v>
      </c>
      <c r="AB25" s="57">
        <f>X25-Y25</f>
        <v>0</v>
      </c>
    </row>
    <row r="26" spans="1:28" s="45" customFormat="1" ht="6" customHeight="1">
      <c r="A26" s="60"/>
      <c r="B26" s="84"/>
      <c r="C26" s="72"/>
      <c r="D26" s="35"/>
      <c r="E26" s="35"/>
      <c r="F26" s="36"/>
      <c r="G26" s="37"/>
      <c r="H26" s="35"/>
      <c r="I26" s="49"/>
      <c r="J26" s="50"/>
      <c r="K26" s="54"/>
      <c r="L26" s="79"/>
      <c r="M26" s="53"/>
      <c r="N26" s="53"/>
      <c r="O26" s="775"/>
      <c r="P26" s="775"/>
      <c r="Q26" s="36"/>
      <c r="R26" s="37"/>
      <c r="S26" s="35"/>
      <c r="T26" s="50"/>
      <c r="U26" s="50"/>
      <c r="V26" s="54"/>
      <c r="W26" s="55"/>
      <c r="X26" s="53"/>
      <c r="Y26" s="53"/>
      <c r="Z26" s="56"/>
      <c r="AA26" s="56"/>
      <c r="AB26" s="57"/>
    </row>
    <row r="27" spans="1:28" s="45" customFormat="1" ht="12.75" customHeight="1">
      <c r="A27" s="32">
        <v>4</v>
      </c>
      <c r="B27" s="851" t="s">
        <v>70</v>
      </c>
      <c r="C27" s="851"/>
      <c r="D27" s="35">
        <f>ROUND(M27/L27,5)</f>
        <v>69.55002</v>
      </c>
      <c r="E27" s="35">
        <f>ROUND(N27/L27,5)</f>
        <v>69.55002</v>
      </c>
      <c r="F27" s="36"/>
      <c r="G27" s="37"/>
      <c r="H27" s="35">
        <f>ROUND(L27/J27/5*1000,9)</f>
        <v>4.238</v>
      </c>
      <c r="I27" s="69">
        <f>I28+I29</f>
        <v>4.59016</v>
      </c>
      <c r="J27" s="39">
        <f>J28+J29</f>
        <v>400</v>
      </c>
      <c r="K27" s="39"/>
      <c r="L27" s="85">
        <f>L28+L29</f>
        <v>8.476</v>
      </c>
      <c r="M27" s="41">
        <f>M28+M29</f>
        <v>589.506</v>
      </c>
      <c r="N27" s="41">
        <f>N28+N29</f>
        <v>589.506</v>
      </c>
      <c r="O27" s="775">
        <f>ROUND(X27/W27,5)</f>
        <v>69.55002</v>
      </c>
      <c r="P27" s="775">
        <f>ROUND(Y27/W27,5)</f>
        <v>69.55002</v>
      </c>
      <c r="Q27" s="36"/>
      <c r="R27" s="37"/>
      <c r="S27" s="35">
        <f>ROUND(W27/U27/5*1000,5)</f>
        <v>4.238</v>
      </c>
      <c r="T27" s="69">
        <f>T28+T29</f>
        <v>0.72739</v>
      </c>
      <c r="U27" s="39">
        <f>U28+U29</f>
        <v>400</v>
      </c>
      <c r="V27" s="54"/>
      <c r="W27" s="42">
        <f>W28+W29</f>
        <v>8.476</v>
      </c>
      <c r="X27" s="41">
        <f>X28+X29</f>
        <v>589.506</v>
      </c>
      <c r="Y27" s="41">
        <f>Y28+Y29</f>
        <v>589.506</v>
      </c>
      <c r="Z27" s="43">
        <f aca="true" t="shared" si="3" ref="Z27:AA29">ROUND(X27/M27,4)</f>
        <v>1</v>
      </c>
      <c r="AA27" s="43">
        <f t="shared" si="3"/>
        <v>1</v>
      </c>
      <c r="AB27" s="44">
        <f>AB28+AB29</f>
        <v>0</v>
      </c>
    </row>
    <row r="28" spans="1:28" s="45" customFormat="1" ht="51.75" customHeight="1">
      <c r="A28" s="46" t="s">
        <v>71</v>
      </c>
      <c r="B28" s="81" t="s">
        <v>72</v>
      </c>
      <c r="C28" s="72" t="s">
        <v>68</v>
      </c>
      <c r="D28" s="35"/>
      <c r="E28" s="35"/>
      <c r="F28" s="36" t="e">
        <f>ROUND(E28/D28%,1)</f>
        <v>#DIV/0!</v>
      </c>
      <c r="G28" s="37"/>
      <c r="H28" s="48" t="s">
        <v>45</v>
      </c>
      <c r="I28" s="53"/>
      <c r="J28" s="64"/>
      <c r="K28" s="54" t="s">
        <v>46</v>
      </c>
      <c r="L28" s="86"/>
      <c r="M28" s="83">
        <f>ROUND(D28*L28,3)</f>
        <v>0</v>
      </c>
      <c r="N28" s="83">
        <f>ROUND(E28*L28,3)</f>
        <v>0</v>
      </c>
      <c r="O28" s="775"/>
      <c r="P28" s="775"/>
      <c r="Q28" s="36" t="e">
        <f>ROUND(P28/O28%,1)</f>
        <v>#DIV/0!</v>
      </c>
      <c r="R28" s="37"/>
      <c r="S28" s="48" t="s">
        <v>45</v>
      </c>
      <c r="T28" s="49"/>
      <c r="U28" s="64"/>
      <c r="V28" s="54" t="s">
        <v>46</v>
      </c>
      <c r="W28" s="55">
        <f>L28</f>
        <v>0</v>
      </c>
      <c r="X28" s="83">
        <f>ROUND(O28*W28,3)</f>
        <v>0</v>
      </c>
      <c r="Y28" s="83">
        <f>ROUND(P28*W28,3)</f>
        <v>0</v>
      </c>
      <c r="Z28" s="56" t="e">
        <f t="shared" si="3"/>
        <v>#DIV/0!</v>
      </c>
      <c r="AA28" s="56" t="e">
        <f t="shared" si="3"/>
        <v>#DIV/0!</v>
      </c>
      <c r="AB28" s="87">
        <f>X28-Y28</f>
        <v>0</v>
      </c>
    </row>
    <row r="29" spans="1:28" s="45" customFormat="1" ht="51">
      <c r="A29" s="46" t="s">
        <v>73</v>
      </c>
      <c r="B29" s="81" t="s">
        <v>74</v>
      </c>
      <c r="C29" s="72" t="s">
        <v>68</v>
      </c>
      <c r="D29" s="35">
        <v>69.55</v>
      </c>
      <c r="E29" s="830">
        <f>D29</f>
        <v>69.55</v>
      </c>
      <c r="F29" s="36">
        <f>ROUND(E29/D29%,1)</f>
        <v>100</v>
      </c>
      <c r="G29" s="37" t="s">
        <v>63</v>
      </c>
      <c r="H29" s="35">
        <f>'норм водоотв  ЦО (5-1)'!E18</f>
        <v>4.238</v>
      </c>
      <c r="I29" s="53">
        <f>'норм водоотв  ЦО (5-1)'!G18</f>
        <v>4.59016</v>
      </c>
      <c r="J29" s="50">
        <f>'норм водоотв  ЦО (5-1)'!H18</f>
        <v>400</v>
      </c>
      <c r="K29" s="54" t="s">
        <v>46</v>
      </c>
      <c r="L29" s="86">
        <f>ROUND(H29*J29*5/1000,5)</f>
        <v>8.476</v>
      </c>
      <c r="M29" s="83">
        <f>ROUND(D29*L29,3)</f>
        <v>589.506</v>
      </c>
      <c r="N29" s="83">
        <f>ROUND(E29*L29,3)</f>
        <v>589.506</v>
      </c>
      <c r="O29" s="775">
        <v>69.55</v>
      </c>
      <c r="P29" s="775">
        <f>O29</f>
        <v>69.55</v>
      </c>
      <c r="Q29" s="36">
        <f>ROUND(P29/O29%,1)</f>
        <v>100</v>
      </c>
      <c r="R29" s="37" t="s">
        <v>63</v>
      </c>
      <c r="S29" s="35">
        <f>'норм водоотв  ЦО (5-1)'!J18</f>
        <v>4.238</v>
      </c>
      <c r="T29" s="49">
        <f>'норм водоотв  ЦО (5-1)'!L18</f>
        <v>0.72739</v>
      </c>
      <c r="U29" s="50">
        <f>'норм водоотв  ЦО (5-1)'!M18</f>
        <v>400</v>
      </c>
      <c r="V29" s="54" t="s">
        <v>46</v>
      </c>
      <c r="W29" s="75">
        <f>ROUND(S29*U29*5/1000,5)</f>
        <v>8.476</v>
      </c>
      <c r="X29" s="83">
        <f>ROUND(O29*W29,3)</f>
        <v>589.506</v>
      </c>
      <c r="Y29" s="83">
        <f>ROUND(P29*W29,3)</f>
        <v>589.506</v>
      </c>
      <c r="Z29" s="56">
        <f t="shared" si="3"/>
        <v>1</v>
      </c>
      <c r="AA29" s="56">
        <f t="shared" si="3"/>
        <v>1</v>
      </c>
      <c r="AB29" s="87">
        <f>X29-Y29</f>
        <v>0</v>
      </c>
    </row>
    <row r="30" spans="1:28" s="45" customFormat="1" ht="6.75" customHeight="1">
      <c r="A30" s="60"/>
      <c r="B30" s="84"/>
      <c r="C30" s="72"/>
      <c r="D30" s="35"/>
      <c r="E30" s="35"/>
      <c r="F30" s="36"/>
      <c r="G30" s="37"/>
      <c r="H30" s="35"/>
      <c r="I30" s="53"/>
      <c r="J30" s="50"/>
      <c r="K30" s="54"/>
      <c r="L30" s="88"/>
      <c r="M30" s="53"/>
      <c r="N30" s="53"/>
      <c r="O30" s="775"/>
      <c r="P30" s="775"/>
      <c r="Q30" s="36"/>
      <c r="R30" s="37"/>
      <c r="S30" s="35"/>
      <c r="T30" s="49"/>
      <c r="U30" s="50"/>
      <c r="V30" s="54"/>
      <c r="W30" s="55"/>
      <c r="X30" s="53"/>
      <c r="Y30" s="53"/>
      <c r="Z30" s="56"/>
      <c r="AA30" s="73"/>
      <c r="AB30" s="57"/>
    </row>
    <row r="31" spans="1:28" s="45" customFormat="1" ht="6" customHeight="1">
      <c r="A31" s="32"/>
      <c r="B31" s="33"/>
      <c r="C31" s="54"/>
      <c r="D31" s="35"/>
      <c r="E31" s="35"/>
      <c r="F31" s="36"/>
      <c r="G31" s="37"/>
      <c r="H31" s="35"/>
      <c r="I31" s="50"/>
      <c r="J31" s="64"/>
      <c r="K31" s="54"/>
      <c r="L31" s="86"/>
      <c r="M31" s="53"/>
      <c r="N31" s="53"/>
      <c r="O31" s="775"/>
      <c r="P31" s="775"/>
      <c r="Q31" s="36"/>
      <c r="R31" s="37"/>
      <c r="S31" s="35"/>
      <c r="T31" s="49"/>
      <c r="U31" s="64"/>
      <c r="V31" s="54"/>
      <c r="W31" s="55"/>
      <c r="X31" s="53"/>
      <c r="Y31" s="53"/>
      <c r="Z31" s="56"/>
      <c r="AA31" s="73"/>
      <c r="AB31" s="57"/>
    </row>
    <row r="32" spans="1:28" s="45" customFormat="1" ht="12.75">
      <c r="A32" s="32">
        <v>5</v>
      </c>
      <c r="B32" s="33" t="s">
        <v>75</v>
      </c>
      <c r="C32" s="54"/>
      <c r="D32" s="35">
        <f>ROUND(M32/L32,5)</f>
        <v>1.84396</v>
      </c>
      <c r="E32" s="35">
        <f>ROUND(N32/L32,5)</f>
        <v>1.84396</v>
      </c>
      <c r="F32" s="36"/>
      <c r="G32" s="37"/>
      <c r="H32" s="35">
        <f>ROUND(L32/J32/5*1000,9)</f>
        <v>92.116822599</v>
      </c>
      <c r="I32" s="69">
        <f>I33+I34</f>
        <v>18.424</v>
      </c>
      <c r="J32" s="69">
        <f>J33+J34</f>
        <v>885</v>
      </c>
      <c r="K32" s="39"/>
      <c r="L32" s="85">
        <f>L33+L34</f>
        <v>407.61694</v>
      </c>
      <c r="M32" s="41">
        <f>M33+M34</f>
        <v>751.63</v>
      </c>
      <c r="N32" s="41">
        <f>N33+N34</f>
        <v>751.63</v>
      </c>
      <c r="O32" s="775">
        <f>ROUND(X32/W32,5)</f>
        <v>1.84396</v>
      </c>
      <c r="P32" s="775">
        <f>ROUND(Y32/W32,5)</f>
        <v>1.84396</v>
      </c>
      <c r="Q32" s="36"/>
      <c r="R32" s="37"/>
      <c r="S32" s="35">
        <f>ROUND(W32/U32/5*1000,5)</f>
        <v>92.11682</v>
      </c>
      <c r="T32" s="69">
        <f>T33+T34</f>
        <v>18.424</v>
      </c>
      <c r="U32" s="39">
        <f>U33+U34</f>
        <v>856</v>
      </c>
      <c r="V32" s="39"/>
      <c r="W32" s="42">
        <f>W33+W34</f>
        <v>394.26</v>
      </c>
      <c r="X32" s="41">
        <f>X33+X34</f>
        <v>727</v>
      </c>
      <c r="Y32" s="41">
        <f>Y33+Y34</f>
        <v>727</v>
      </c>
      <c r="Z32" s="43">
        <f aca="true" t="shared" si="4" ref="Z32:AA34">ROUND(X32/M32,4)</f>
        <v>0.9672</v>
      </c>
      <c r="AA32" s="43">
        <f t="shared" si="4"/>
        <v>0.9672</v>
      </c>
      <c r="AB32" s="44">
        <f>AB33+AB34</f>
        <v>0</v>
      </c>
    </row>
    <row r="33" spans="1:28" s="45" customFormat="1" ht="33.75" customHeight="1">
      <c r="A33" s="89" t="s">
        <v>76</v>
      </c>
      <c r="B33" s="90" t="s">
        <v>77</v>
      </c>
      <c r="C33" s="54" t="s">
        <v>78</v>
      </c>
      <c r="D33" s="35"/>
      <c r="E33" s="35"/>
      <c r="F33" s="36" t="e">
        <f>ROUND(E33/D33%,1)</f>
        <v>#DIV/0!</v>
      </c>
      <c r="G33" s="37" t="s">
        <v>79</v>
      </c>
      <c r="H33" s="35"/>
      <c r="I33" s="53"/>
      <c r="J33" s="64"/>
      <c r="K33" s="54" t="s">
        <v>80</v>
      </c>
      <c r="L33" s="91">
        <f>ROUND(H33*J33*5/1000,5)</f>
        <v>0</v>
      </c>
      <c r="M33" s="52">
        <f>ROUND(D33*L33,3)</f>
        <v>0</v>
      </c>
      <c r="N33" s="52">
        <f>ROUND(E33*L33,3)</f>
        <v>0</v>
      </c>
      <c r="O33" s="775"/>
      <c r="P33" s="775"/>
      <c r="Q33" s="36" t="e">
        <f>ROUND(P33/O33%,1)</f>
        <v>#DIV/0!</v>
      </c>
      <c r="R33" s="37" t="s">
        <v>79</v>
      </c>
      <c r="S33" s="35"/>
      <c r="T33" s="49"/>
      <c r="U33" s="64"/>
      <c r="V33" s="54" t="s">
        <v>80</v>
      </c>
      <c r="W33" s="75">
        <f>ROUND(S33*U33*5/1000,5)</f>
        <v>0</v>
      </c>
      <c r="X33" s="52">
        <f>ROUND(O33*W33,3)</f>
        <v>0</v>
      </c>
      <c r="Y33" s="52">
        <f>ROUND(P33*W33,3)</f>
        <v>0</v>
      </c>
      <c r="Z33" s="56" t="e">
        <f t="shared" si="4"/>
        <v>#DIV/0!</v>
      </c>
      <c r="AA33" s="56" t="e">
        <f t="shared" si="4"/>
        <v>#DIV/0!</v>
      </c>
      <c r="AB33" s="87">
        <f>X33-Y33</f>
        <v>0</v>
      </c>
    </row>
    <row r="34" spans="1:28" s="45" customFormat="1" ht="32.25" customHeight="1">
      <c r="A34" s="89" t="s">
        <v>81</v>
      </c>
      <c r="B34" s="90" t="s">
        <v>82</v>
      </c>
      <c r="C34" s="54" t="s">
        <v>78</v>
      </c>
      <c r="D34" s="35">
        <f>'7-2'!C17</f>
        <v>1.843961</v>
      </c>
      <c r="E34" s="35">
        <f>D34</f>
        <v>1.843961</v>
      </c>
      <c r="F34" s="36">
        <f>ROUND(E34/D34%,1)</f>
        <v>100</v>
      </c>
      <c r="G34" s="37" t="s">
        <v>79</v>
      </c>
      <c r="H34" s="35">
        <f>'Эл.7-1 1 пол.'!C71</f>
        <v>92.11682243</v>
      </c>
      <c r="I34" s="53">
        <f>'Эл.7-1 1 пол.'!C6</f>
        <v>18.424</v>
      </c>
      <c r="J34" s="64">
        <v>885</v>
      </c>
      <c r="K34" s="54" t="s">
        <v>80</v>
      </c>
      <c r="L34" s="91">
        <f>ROUND(H34*J34*5/1000,5)</f>
        <v>407.61694</v>
      </c>
      <c r="M34" s="52">
        <f>ROUND(D34*L34,3)</f>
        <v>751.63</v>
      </c>
      <c r="N34" s="52">
        <f>ROUND(E34*L34,3)</f>
        <v>751.63</v>
      </c>
      <c r="O34" s="775">
        <f>D34</f>
        <v>1.843961</v>
      </c>
      <c r="P34" s="775">
        <f>O34</f>
        <v>1.843961</v>
      </c>
      <c r="Q34" s="36">
        <f>ROUND(P34/O34%,1)</f>
        <v>100</v>
      </c>
      <c r="R34" s="37" t="s">
        <v>79</v>
      </c>
      <c r="S34" s="35">
        <f>H34</f>
        <v>92.11682243</v>
      </c>
      <c r="T34" s="49">
        <v>18.424</v>
      </c>
      <c r="U34" s="64">
        <v>856</v>
      </c>
      <c r="V34" s="54" t="s">
        <v>80</v>
      </c>
      <c r="W34" s="75">
        <f>ROUND(S34*U34*5/1000,5)</f>
        <v>394.26</v>
      </c>
      <c r="X34" s="52">
        <f>ROUND(O34*W34,3)</f>
        <v>727</v>
      </c>
      <c r="Y34" s="52">
        <f>ROUND(P34*W34,3)</f>
        <v>727</v>
      </c>
      <c r="Z34" s="56">
        <f t="shared" si="4"/>
        <v>0.9672</v>
      </c>
      <c r="AA34" s="56">
        <f t="shared" si="4"/>
        <v>0.9672</v>
      </c>
      <c r="AB34" s="87">
        <f>X34-Y34</f>
        <v>0</v>
      </c>
    </row>
    <row r="35" spans="1:28" s="45" customFormat="1" ht="6.75" customHeight="1">
      <c r="A35" s="89"/>
      <c r="B35" s="90"/>
      <c r="C35" s="54"/>
      <c r="D35" s="35"/>
      <c r="E35" s="35"/>
      <c r="F35" s="36"/>
      <c r="G35" s="37"/>
      <c r="H35" s="35"/>
      <c r="I35" s="50"/>
      <c r="J35" s="64"/>
      <c r="K35" s="54"/>
      <c r="L35" s="88"/>
      <c r="M35" s="53"/>
      <c r="N35" s="53"/>
      <c r="O35" s="775"/>
      <c r="P35" s="775"/>
      <c r="Q35" s="36"/>
      <c r="R35" s="37"/>
      <c r="S35" s="35"/>
      <c r="T35" s="49"/>
      <c r="U35" s="64"/>
      <c r="V35" s="54"/>
      <c r="W35" s="55"/>
      <c r="X35" s="53"/>
      <c r="Y35" s="53"/>
      <c r="Z35" s="56"/>
      <c r="AA35" s="73"/>
      <c r="AB35" s="57"/>
    </row>
    <row r="36" spans="1:28" s="97" customFormat="1" ht="51">
      <c r="A36" s="32">
        <v>6</v>
      </c>
      <c r="B36" s="33" t="s">
        <v>83</v>
      </c>
      <c r="C36" s="92"/>
      <c r="D36" s="93">
        <v>44.12</v>
      </c>
      <c r="E36" s="93">
        <v>44.12</v>
      </c>
      <c r="F36" s="94">
        <f>ROUND(E36/D36%,1)</f>
        <v>100</v>
      </c>
      <c r="G36" s="95" t="s">
        <v>84</v>
      </c>
      <c r="H36" s="93">
        <v>3</v>
      </c>
      <c r="I36" s="69">
        <f>'Газ (8) '!H13</f>
        <v>18.424</v>
      </c>
      <c r="J36" s="39">
        <v>885</v>
      </c>
      <c r="K36" s="92" t="s">
        <v>85</v>
      </c>
      <c r="L36" s="85">
        <f>ROUND(H36*J36*5/1000,5)</f>
        <v>13.275</v>
      </c>
      <c r="M36" s="41">
        <f>ROUND(D36*L36,3)</f>
        <v>585.693</v>
      </c>
      <c r="N36" s="41">
        <f>ROUND(E36*L36,3)</f>
        <v>585.693</v>
      </c>
      <c r="O36" s="776">
        <v>44.12</v>
      </c>
      <c r="P36" s="776">
        <v>44.12</v>
      </c>
      <c r="Q36" s="94">
        <f>ROUND(P36/O36%,1)</f>
        <v>100</v>
      </c>
      <c r="R36" s="95" t="s">
        <v>84</v>
      </c>
      <c r="S36" s="93">
        <f>H36</f>
        <v>3</v>
      </c>
      <c r="T36" s="69">
        <v>18.424</v>
      </c>
      <c r="U36" s="39">
        <v>856</v>
      </c>
      <c r="V36" s="92" t="s">
        <v>85</v>
      </c>
      <c r="W36" s="96">
        <f>ROUND(S36*U36*5/1000,5)</f>
        <v>12.84</v>
      </c>
      <c r="X36" s="41">
        <f>ROUND(O36*W36,3)</f>
        <v>566.501</v>
      </c>
      <c r="Y36" s="41">
        <f>ROUND(P36*W36,3)</f>
        <v>566.501</v>
      </c>
      <c r="Z36" s="43">
        <f>ROUND(X36/M36,4)</f>
        <v>0.9672</v>
      </c>
      <c r="AA36" s="43">
        <f>ROUND(Y36/N36,4)</f>
        <v>0.9672</v>
      </c>
      <c r="AB36" s="44">
        <f>X36-Y36</f>
        <v>0</v>
      </c>
    </row>
    <row r="37" spans="1:28" s="102" customFormat="1" ht="12.75">
      <c r="A37" s="98"/>
      <c r="B37" s="98" t="s">
        <v>86</v>
      </c>
      <c r="C37" s="99" t="s">
        <v>45</v>
      </c>
      <c r="D37" s="99" t="s">
        <v>45</v>
      </c>
      <c r="E37" s="99" t="s">
        <v>45</v>
      </c>
      <c r="F37" s="99" t="s">
        <v>45</v>
      </c>
      <c r="G37" s="99" t="s">
        <v>45</v>
      </c>
      <c r="H37" s="99" t="s">
        <v>45</v>
      </c>
      <c r="I37" s="99" t="s">
        <v>45</v>
      </c>
      <c r="J37" s="99" t="s">
        <v>45</v>
      </c>
      <c r="K37" s="99" t="s">
        <v>45</v>
      </c>
      <c r="L37" s="99" t="s">
        <v>45</v>
      </c>
      <c r="M37" s="100">
        <f>M13+M17+M23+M27+M32+M36</f>
        <v>51325.568</v>
      </c>
      <c r="N37" s="100">
        <f>N13+N17+N23+N27+N32+N36</f>
        <v>50969.396</v>
      </c>
      <c r="O37" s="777" t="s">
        <v>45</v>
      </c>
      <c r="P37" s="777" t="s">
        <v>45</v>
      </c>
      <c r="Q37" s="99" t="s">
        <v>45</v>
      </c>
      <c r="R37" s="99" t="s">
        <v>45</v>
      </c>
      <c r="S37" s="99" t="s">
        <v>45</v>
      </c>
      <c r="T37" s="99" t="s">
        <v>45</v>
      </c>
      <c r="U37" s="99" t="s">
        <v>45</v>
      </c>
      <c r="V37" s="99" t="s">
        <v>45</v>
      </c>
      <c r="W37" s="101" t="s">
        <v>45</v>
      </c>
      <c r="X37" s="100">
        <f>X13+X17+X23+X27+X32+X36</f>
        <v>56565.067</v>
      </c>
      <c r="Y37" s="100">
        <f>Y13+Y17+Y23+Y27+Y32+Y36</f>
        <v>55135.776</v>
      </c>
      <c r="Z37" s="43">
        <f>ROUND(X37/M37,1)</f>
        <v>1.1</v>
      </c>
      <c r="AA37" s="43">
        <f>ROUND(Y37/N37,1)</f>
        <v>1.1</v>
      </c>
      <c r="AB37" s="815">
        <f>ROUND(X37-Y37,3)</f>
        <v>1429.291</v>
      </c>
    </row>
    <row r="38" spans="1:28" s="108" customFormat="1" ht="45" customHeight="1">
      <c r="A38" s="103"/>
      <c r="B38" s="852" t="s">
        <v>87</v>
      </c>
      <c r="C38" s="852"/>
      <c r="D38" s="99" t="s">
        <v>45</v>
      </c>
      <c r="E38" s="99" t="s">
        <v>45</v>
      </c>
      <c r="F38" s="99" t="s">
        <v>45</v>
      </c>
      <c r="G38" s="99" t="s">
        <v>45</v>
      </c>
      <c r="H38" s="99" t="s">
        <v>45</v>
      </c>
      <c r="I38" s="99" t="s">
        <v>45</v>
      </c>
      <c r="J38" s="99" t="s">
        <v>45</v>
      </c>
      <c r="K38" s="99" t="s">
        <v>45</v>
      </c>
      <c r="L38" s="99" t="s">
        <v>45</v>
      </c>
      <c r="M38" s="99" t="s">
        <v>45</v>
      </c>
      <c r="N38" s="99" t="s">
        <v>45</v>
      </c>
      <c r="O38" s="777" t="s">
        <v>45</v>
      </c>
      <c r="P38" s="777" t="s">
        <v>45</v>
      </c>
      <c r="Q38" s="99" t="s">
        <v>45</v>
      </c>
      <c r="R38" s="99" t="s">
        <v>45</v>
      </c>
      <c r="S38" s="99" t="s">
        <v>45</v>
      </c>
      <c r="T38" s="99" t="s">
        <v>45</v>
      </c>
      <c r="U38" s="99" t="s">
        <v>45</v>
      </c>
      <c r="V38" s="99" t="s">
        <v>45</v>
      </c>
      <c r="W38" s="101" t="s">
        <v>45</v>
      </c>
      <c r="X38" s="99" t="s">
        <v>45</v>
      </c>
      <c r="Y38" s="104">
        <f>ROUND(N37*1,3)</f>
        <v>50969.396</v>
      </c>
      <c r="Z38" s="105" t="s">
        <v>45</v>
      </c>
      <c r="AA38" s="106">
        <f>ROUND(Y38/N37,4)</f>
        <v>1</v>
      </c>
      <c r="AB38" s="107">
        <f>ROUND(X37-Y38,3)</f>
        <v>5595.671</v>
      </c>
    </row>
    <row r="39" spans="1:28" s="108" customFormat="1" ht="19.5" customHeight="1">
      <c r="A39" s="109"/>
      <c r="B39" s="110"/>
      <c r="C39" s="111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778"/>
      <c r="P39" s="779"/>
      <c r="Q39" s="113"/>
      <c r="R39" s="112"/>
      <c r="S39" s="112"/>
      <c r="T39" s="112"/>
      <c r="U39" s="112"/>
      <c r="V39" s="112"/>
      <c r="W39" s="114"/>
      <c r="X39" s="112"/>
      <c r="Y39" s="115"/>
      <c r="Z39" s="116"/>
      <c r="AA39" s="117"/>
      <c r="AB39" s="118"/>
    </row>
    <row r="40" spans="1:28" s="31" customFormat="1" ht="22.5" customHeight="1">
      <c r="A40" s="26"/>
      <c r="B40" s="854" t="s">
        <v>88</v>
      </c>
      <c r="C40" s="854"/>
      <c r="D40" s="854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773"/>
      <c r="P40" s="774"/>
      <c r="Q40" s="28"/>
      <c r="R40" s="27"/>
      <c r="S40" s="27"/>
      <c r="T40" s="27"/>
      <c r="U40" s="27"/>
      <c r="V40" s="27"/>
      <c r="W40" s="29"/>
      <c r="X40" s="27"/>
      <c r="Y40" s="27"/>
      <c r="Z40" s="28"/>
      <c r="AA40" s="28"/>
      <c r="AB40" s="30"/>
    </row>
    <row r="41" spans="1:28" s="45" customFormat="1" ht="29.25" customHeight="1">
      <c r="A41" s="32">
        <v>1</v>
      </c>
      <c r="B41" s="33" t="s">
        <v>39</v>
      </c>
      <c r="C41" s="34" t="s">
        <v>40</v>
      </c>
      <c r="D41" s="35">
        <f>ROUND(M41/L41,5)</f>
        <v>1615.64012</v>
      </c>
      <c r="E41" s="35">
        <f>ROUND(N41/L41,5)</f>
        <v>1287.47869</v>
      </c>
      <c r="F41" s="36">
        <f>ROUND(E41/D41%,1)</f>
        <v>79.7</v>
      </c>
      <c r="G41" s="37" t="s">
        <v>41</v>
      </c>
      <c r="H41" s="35">
        <f>ROUND(L41/I41/1,9)</f>
        <v>0.04727999</v>
      </c>
      <c r="I41" s="38">
        <f>I42+I43</f>
        <v>4.59116</v>
      </c>
      <c r="J41" s="39">
        <f>J42+J43</f>
        <v>885</v>
      </c>
      <c r="K41" s="34" t="s">
        <v>42</v>
      </c>
      <c r="L41" s="40">
        <f>L42+L43</f>
        <v>0.21707</v>
      </c>
      <c r="M41" s="41">
        <f>M42+M43</f>
        <v>350.707</v>
      </c>
      <c r="N41" s="41">
        <f>N42+N43</f>
        <v>279.473</v>
      </c>
      <c r="O41" s="775" t="e">
        <f>ROUND(X41/W41,5)</f>
        <v>#DIV/0!</v>
      </c>
      <c r="P41" s="775" t="e">
        <f>ROUND(Y41/W41,5)</f>
        <v>#DIV/0!</v>
      </c>
      <c r="Q41" s="36" t="e">
        <f>ROUND(P41/O41%,1)</f>
        <v>#DIV/0!</v>
      </c>
      <c r="R41" s="37" t="s">
        <v>41</v>
      </c>
      <c r="S41" s="35" t="e">
        <f>ROUND(W41/T41/6,5)</f>
        <v>#DIV/0!</v>
      </c>
      <c r="T41" s="38">
        <f>T42+T43</f>
        <v>0</v>
      </c>
      <c r="U41" s="39">
        <f>U42+U43</f>
        <v>0</v>
      </c>
      <c r="V41" s="37" t="s">
        <v>42</v>
      </c>
      <c r="W41" s="42">
        <f>W42+W43</f>
        <v>0</v>
      </c>
      <c r="X41" s="41">
        <f>X42+X43</f>
        <v>0</v>
      </c>
      <c r="Y41" s="41">
        <f>Y42+Y43</f>
        <v>0</v>
      </c>
      <c r="Z41" s="43">
        <f aca="true" t="shared" si="5" ref="Z41:AA43">ROUND(X41/M41,4)</f>
        <v>0</v>
      </c>
      <c r="AA41" s="43">
        <f t="shared" si="5"/>
        <v>0</v>
      </c>
      <c r="AB41" s="44">
        <f>X41-Y41</f>
        <v>0</v>
      </c>
    </row>
    <row r="42" spans="1:28" s="45" customFormat="1" ht="46.5" customHeight="1">
      <c r="A42" s="46" t="s">
        <v>43</v>
      </c>
      <c r="B42" s="47" t="s">
        <v>44</v>
      </c>
      <c r="C42" s="34" t="s">
        <v>40</v>
      </c>
      <c r="D42" s="35"/>
      <c r="E42" s="35"/>
      <c r="F42" s="36" t="e">
        <f>ROUND(E42/D42%,1)</f>
        <v>#DIV/0!</v>
      </c>
      <c r="G42" s="37" t="s">
        <v>41</v>
      </c>
      <c r="H42" s="48" t="s">
        <v>45</v>
      </c>
      <c r="I42" s="49"/>
      <c r="J42" s="50"/>
      <c r="K42" s="34" t="s">
        <v>42</v>
      </c>
      <c r="L42" s="51"/>
      <c r="M42" s="52">
        <f>ROUND(D42*L42,3)</f>
        <v>0</v>
      </c>
      <c r="N42" s="52">
        <f>ROUND(E42*L42,3)</f>
        <v>0</v>
      </c>
      <c r="O42" s="775"/>
      <c r="P42" s="775"/>
      <c r="Q42" s="36" t="e">
        <f>ROUND(P42/O42%,1)</f>
        <v>#DIV/0!</v>
      </c>
      <c r="R42" s="37" t="s">
        <v>41</v>
      </c>
      <c r="S42" s="48" t="s">
        <v>45</v>
      </c>
      <c r="T42" s="53"/>
      <c r="U42" s="50"/>
      <c r="V42" s="54" t="s">
        <v>46</v>
      </c>
      <c r="W42" s="55">
        <f>L42</f>
        <v>0</v>
      </c>
      <c r="X42" s="52">
        <f>ROUND(O42*W42,3)</f>
        <v>0</v>
      </c>
      <c r="Y42" s="52">
        <f>ROUND(P42*W42,3)</f>
        <v>0</v>
      </c>
      <c r="Z42" s="56" t="e">
        <f t="shared" si="5"/>
        <v>#DIV/0!</v>
      </c>
      <c r="AA42" s="56" t="e">
        <f t="shared" si="5"/>
        <v>#DIV/0!</v>
      </c>
      <c r="AB42" s="57">
        <f>X42-Y42</f>
        <v>0</v>
      </c>
    </row>
    <row r="43" spans="1:28" s="45" customFormat="1" ht="36" customHeight="1">
      <c r="A43" s="58" t="s">
        <v>47</v>
      </c>
      <c r="B43" s="47" t="s">
        <v>48</v>
      </c>
      <c r="C43" s="34" t="s">
        <v>40</v>
      </c>
      <c r="D43" s="35">
        <v>1615.64</v>
      </c>
      <c r="E43" s="35">
        <v>1287.48</v>
      </c>
      <c r="F43" s="36">
        <f>ROUND(E43/D43%,1)</f>
        <v>79.7</v>
      </c>
      <c r="G43" s="37" t="s">
        <v>41</v>
      </c>
      <c r="H43" s="35">
        <f>'норм отопл  (2-1) '!E40</f>
        <v>0.04727999</v>
      </c>
      <c r="I43" s="49">
        <f>'норм отопл  (2-1) '!G40</f>
        <v>4.59116</v>
      </c>
      <c r="J43" s="50">
        <v>885</v>
      </c>
      <c r="K43" s="34" t="s">
        <v>42</v>
      </c>
      <c r="L43" s="59">
        <f>ROUND(H43*I43*1,5)</f>
        <v>0.21707</v>
      </c>
      <c r="M43" s="52">
        <f>ROUND(D43*L43,3)</f>
        <v>350.707</v>
      </c>
      <c r="N43" s="52">
        <f>ROUND(E43*L43,3)</f>
        <v>279.473</v>
      </c>
      <c r="O43" s="775">
        <v>1615.64</v>
      </c>
      <c r="P43" s="775">
        <v>1287.48</v>
      </c>
      <c r="Q43" s="36">
        <f>ROUND(P43/O43%,1)</f>
        <v>79.7</v>
      </c>
      <c r="R43" s="37" t="s">
        <v>41</v>
      </c>
      <c r="S43" s="35"/>
      <c r="T43" s="49"/>
      <c r="U43" s="50"/>
      <c r="V43" s="54" t="s">
        <v>42</v>
      </c>
      <c r="W43" s="55">
        <f>ROUND(S43*T43*1,5)</f>
        <v>0</v>
      </c>
      <c r="X43" s="52">
        <f>ROUND(O43*W43,3)</f>
        <v>0</v>
      </c>
      <c r="Y43" s="52">
        <f>ROUND(P43*W43,3)</f>
        <v>0</v>
      </c>
      <c r="Z43" s="56">
        <f t="shared" si="5"/>
        <v>0</v>
      </c>
      <c r="AA43" s="56">
        <f t="shared" si="5"/>
        <v>0</v>
      </c>
      <c r="AB43" s="57">
        <f>X43-Y43</f>
        <v>0</v>
      </c>
    </row>
    <row r="44" spans="1:28" s="45" customFormat="1" ht="6" customHeight="1">
      <c r="A44" s="60"/>
      <c r="B44" s="61"/>
      <c r="C44" s="62"/>
      <c r="D44" s="35"/>
      <c r="E44" s="35"/>
      <c r="F44" s="36"/>
      <c r="G44" s="37"/>
      <c r="H44" s="63"/>
      <c r="I44" s="53"/>
      <c r="J44" s="64"/>
      <c r="K44" s="37"/>
      <c r="L44" s="65"/>
      <c r="M44" s="53"/>
      <c r="N44" s="53"/>
      <c r="O44" s="775"/>
      <c r="P44" s="775"/>
      <c r="Q44" s="36"/>
      <c r="R44" s="37"/>
      <c r="S44" s="66"/>
      <c r="T44" s="50"/>
      <c r="U44" s="64"/>
      <c r="V44" s="37"/>
      <c r="W44" s="55"/>
      <c r="X44" s="53"/>
      <c r="Y44" s="53"/>
      <c r="Z44" s="56"/>
      <c r="AA44" s="56"/>
      <c r="AB44" s="57"/>
    </row>
    <row r="45" spans="1:28" s="70" customFormat="1" ht="12.75" customHeight="1">
      <c r="A45" s="32">
        <v>2</v>
      </c>
      <c r="B45" s="855" t="s">
        <v>49</v>
      </c>
      <c r="C45" s="855"/>
      <c r="D45" s="35">
        <f>ROUND(M45/L45,5)</f>
        <v>161.40774</v>
      </c>
      <c r="E45" s="35">
        <f>ROUND(N45/L45,5)</f>
        <v>161.40774</v>
      </c>
      <c r="F45" s="67"/>
      <c r="G45" s="68"/>
      <c r="H45" s="35">
        <f>ROUND(L45/J45/1*1000,9)</f>
        <v>174.130101695</v>
      </c>
      <c r="I45" s="69">
        <f>I46+I48</f>
        <v>4.59016</v>
      </c>
      <c r="J45" s="39">
        <f>J46+J48</f>
        <v>885</v>
      </c>
      <c r="K45" s="68"/>
      <c r="L45" s="40">
        <f>L47+L49</f>
        <v>154.10514</v>
      </c>
      <c r="M45" s="41">
        <f>M46+M48+M49</f>
        <v>24873.763</v>
      </c>
      <c r="N45" s="41">
        <f>N46+N48+N49</f>
        <v>24873.763</v>
      </c>
      <c r="O45" s="775" t="e">
        <f>ROUND(X45/W45,5)</f>
        <v>#DIV/0!</v>
      </c>
      <c r="P45" s="775" t="e">
        <f>ROUND(Y45/W45,5)</f>
        <v>#DIV/0!</v>
      </c>
      <c r="Q45" s="67"/>
      <c r="R45" s="68"/>
      <c r="S45" s="35">
        <f>ROUND(W45/U45/6*1000,5)</f>
        <v>0</v>
      </c>
      <c r="T45" s="69">
        <f>T46+T48</f>
        <v>18.424</v>
      </c>
      <c r="U45" s="39">
        <f>U46+U48</f>
        <v>856</v>
      </c>
      <c r="V45" s="68"/>
      <c r="W45" s="42">
        <f>W47+W49</f>
        <v>0</v>
      </c>
      <c r="X45" s="41">
        <f>X46+X48+X49</f>
        <v>0</v>
      </c>
      <c r="Y45" s="41">
        <f>Y46+Y48+Y49</f>
        <v>0</v>
      </c>
      <c r="Z45" s="43">
        <f>ROUND(X45/M45,4)</f>
        <v>0</v>
      </c>
      <c r="AA45" s="43">
        <f>ROUND(Y45/N45,4)</f>
        <v>0</v>
      </c>
      <c r="AB45" s="44">
        <f>AB46+AB48+AB49</f>
        <v>0</v>
      </c>
    </row>
    <row r="46" spans="1:28" s="45" customFormat="1" ht="70.5" customHeight="1">
      <c r="A46" s="46" t="s">
        <v>50</v>
      </c>
      <c r="B46" s="71" t="s">
        <v>51</v>
      </c>
      <c r="C46" s="72" t="s">
        <v>40</v>
      </c>
      <c r="D46" s="35"/>
      <c r="E46" s="35"/>
      <c r="F46" s="36"/>
      <c r="G46" s="37"/>
      <c r="H46" s="48" t="s">
        <v>45</v>
      </c>
      <c r="I46" s="49"/>
      <c r="J46" s="50"/>
      <c r="K46" s="54" t="s">
        <v>42</v>
      </c>
      <c r="L46" s="73"/>
      <c r="M46" s="52"/>
      <c r="N46" s="52"/>
      <c r="O46" s="775"/>
      <c r="P46" s="775"/>
      <c r="Q46" s="36"/>
      <c r="R46" s="37"/>
      <c r="S46" s="48" t="s">
        <v>45</v>
      </c>
      <c r="T46" s="53"/>
      <c r="U46" s="50"/>
      <c r="V46" s="54" t="s">
        <v>42</v>
      </c>
      <c r="W46" s="55"/>
      <c r="X46" s="52"/>
      <c r="Y46" s="52"/>
      <c r="Z46" s="56"/>
      <c r="AA46" s="56"/>
      <c r="AB46" s="57"/>
    </row>
    <row r="47" spans="1:28" s="45" customFormat="1" ht="76.5" customHeight="1">
      <c r="A47" s="46" t="s">
        <v>52</v>
      </c>
      <c r="B47" s="71" t="s">
        <v>53</v>
      </c>
      <c r="C47" s="74" t="s">
        <v>54</v>
      </c>
      <c r="D47" s="35"/>
      <c r="E47" s="35"/>
      <c r="F47" s="36"/>
      <c r="G47" s="37"/>
      <c r="H47" s="48" t="s">
        <v>45</v>
      </c>
      <c r="I47" s="49"/>
      <c r="J47" s="50"/>
      <c r="K47" s="74" t="s">
        <v>55</v>
      </c>
      <c r="L47" s="73"/>
      <c r="M47" s="52"/>
      <c r="N47" s="52"/>
      <c r="O47" s="775"/>
      <c r="P47" s="775"/>
      <c r="Q47" s="36"/>
      <c r="R47" s="37"/>
      <c r="S47" s="48" t="s">
        <v>45</v>
      </c>
      <c r="T47" s="53"/>
      <c r="U47" s="50"/>
      <c r="V47" s="54" t="s">
        <v>56</v>
      </c>
      <c r="W47" s="55"/>
      <c r="X47" s="52"/>
      <c r="Y47" s="52"/>
      <c r="Z47" s="56"/>
      <c r="AA47" s="56"/>
      <c r="AB47" s="57"/>
    </row>
    <row r="48" spans="1:28" s="45" customFormat="1" ht="67.5" customHeight="1">
      <c r="A48" s="58" t="s">
        <v>57</v>
      </c>
      <c r="B48" s="71" t="s">
        <v>58</v>
      </c>
      <c r="C48" s="34" t="s">
        <v>40</v>
      </c>
      <c r="D48" s="35">
        <v>1615.64</v>
      </c>
      <c r="E48" s="35">
        <v>1615.64</v>
      </c>
      <c r="F48" s="36">
        <f>ROUND(E48/D48%,1)</f>
        <v>100</v>
      </c>
      <c r="G48" s="37" t="s">
        <v>59</v>
      </c>
      <c r="H48" s="35">
        <f>'норм. ГВС  (3-1)'!F55</f>
        <v>11.99758454</v>
      </c>
      <c r="I48" s="49">
        <f>'норм. ГВС  (3-1)'!I55</f>
        <v>4.59016</v>
      </c>
      <c r="J48" s="50">
        <v>885</v>
      </c>
      <c r="K48" s="34" t="s">
        <v>42</v>
      </c>
      <c r="L48" s="65">
        <f>ROUND(H48*J48*1/1000,5)</f>
        <v>10.61786</v>
      </c>
      <c r="M48" s="52">
        <f>ROUND(D48*L48,3)</f>
        <v>17154.639</v>
      </c>
      <c r="N48" s="52">
        <f>ROUND(E48*L48,3)</f>
        <v>17154.639</v>
      </c>
      <c r="O48" s="775">
        <v>1615.64</v>
      </c>
      <c r="P48" s="775">
        <v>1615.64</v>
      </c>
      <c r="Q48" s="36">
        <f>ROUND(P48/O48%,1)</f>
        <v>100</v>
      </c>
      <c r="R48" s="37" t="s">
        <v>59</v>
      </c>
      <c r="S48" s="35"/>
      <c r="T48" s="53">
        <v>18.424</v>
      </c>
      <c r="U48" s="50">
        <v>856</v>
      </c>
      <c r="V48" s="54" t="s">
        <v>42</v>
      </c>
      <c r="W48" s="75">
        <f>ROUND(S48*U48*1/1000,5)</f>
        <v>0</v>
      </c>
      <c r="X48" s="52">
        <f>ROUND(O48*W48,3)</f>
        <v>0</v>
      </c>
      <c r="Y48" s="52">
        <f>ROUND(P48*W48,3)</f>
        <v>0</v>
      </c>
      <c r="Z48" s="56">
        <f>ROUND(X48/M48,4)</f>
        <v>0</v>
      </c>
      <c r="AA48" s="56">
        <f>ROUND(Y48/N48,4)</f>
        <v>0</v>
      </c>
      <c r="AB48" s="57">
        <f>X48-Y48</f>
        <v>0</v>
      </c>
    </row>
    <row r="49" spans="1:28" s="45" customFormat="1" ht="70.5" customHeight="1">
      <c r="A49" s="58" t="s">
        <v>60</v>
      </c>
      <c r="B49" s="71" t="s">
        <v>61</v>
      </c>
      <c r="C49" s="72" t="s">
        <v>62</v>
      </c>
      <c r="D49" s="35">
        <f>'ГВС  плата  базов. (3-2)'!E51</f>
        <v>50.089985</v>
      </c>
      <c r="E49" s="35">
        <f>'ГВС  плата  базов. (3-2)'!H51</f>
        <v>50.089985</v>
      </c>
      <c r="F49" s="36">
        <f>ROUND(E49/D49%,1)</f>
        <v>100</v>
      </c>
      <c r="G49" s="37" t="s">
        <v>63</v>
      </c>
      <c r="H49" s="35">
        <f>'норм. ГВС  (3-1)'!G55</f>
        <v>174.13009662</v>
      </c>
      <c r="I49" s="49">
        <f>'норм. ГВС  (3-1)'!I55</f>
        <v>4.59016</v>
      </c>
      <c r="J49" s="50">
        <v>885</v>
      </c>
      <c r="K49" s="54" t="s">
        <v>46</v>
      </c>
      <c r="L49" s="65">
        <f>ROUND(H49*J49*1/1000,5)</f>
        <v>154.10514</v>
      </c>
      <c r="M49" s="52">
        <f>ROUND(D49*L49,3)</f>
        <v>7719.124</v>
      </c>
      <c r="N49" s="52">
        <f>ROUND(E49*L49,3)</f>
        <v>7719.124</v>
      </c>
      <c r="O49" s="775">
        <v>36.58</v>
      </c>
      <c r="P49" s="775">
        <v>36.58</v>
      </c>
      <c r="Q49" s="36">
        <f>ROUND(P49/O49%,1)</f>
        <v>100</v>
      </c>
      <c r="R49" s="37" t="s">
        <v>63</v>
      </c>
      <c r="S49" s="35"/>
      <c r="T49" s="53">
        <v>18.424</v>
      </c>
      <c r="U49" s="50">
        <v>856</v>
      </c>
      <c r="V49" s="54" t="s">
        <v>64</v>
      </c>
      <c r="W49" s="75">
        <f>ROUND(S49*U49*1/1000,5)</f>
        <v>0</v>
      </c>
      <c r="X49" s="52">
        <f>ROUND(O49*W49,3)</f>
        <v>0</v>
      </c>
      <c r="Y49" s="52">
        <f>ROUND(P49*W49,3)</f>
        <v>0</v>
      </c>
      <c r="Z49" s="56">
        <f>ROUND(X49/M49,4)</f>
        <v>0</v>
      </c>
      <c r="AA49" s="56">
        <f>ROUND(Y49/N49,4)</f>
        <v>0</v>
      </c>
      <c r="AB49" s="57">
        <f>X49-Y49</f>
        <v>0</v>
      </c>
    </row>
    <row r="50" spans="1:28" s="45" customFormat="1" ht="6" customHeight="1">
      <c r="A50" s="76"/>
      <c r="B50" s="77"/>
      <c r="C50" s="78"/>
      <c r="D50" s="35"/>
      <c r="E50" s="35"/>
      <c r="F50" s="36"/>
      <c r="G50" s="37"/>
      <c r="H50" s="35"/>
      <c r="I50" s="49"/>
      <c r="J50" s="50"/>
      <c r="K50" s="74"/>
      <c r="L50" s="79"/>
      <c r="M50" s="53"/>
      <c r="N50" s="53"/>
      <c r="O50" s="775"/>
      <c r="P50" s="775"/>
      <c r="Q50" s="36"/>
      <c r="R50" s="37"/>
      <c r="S50" s="35"/>
      <c r="T50" s="50"/>
      <c r="U50" s="50"/>
      <c r="V50" s="54"/>
      <c r="W50" s="55"/>
      <c r="X50" s="53"/>
      <c r="Y50" s="53"/>
      <c r="Z50" s="56"/>
      <c r="AA50" s="56"/>
      <c r="AB50" s="57"/>
    </row>
    <row r="51" spans="1:28" s="45" customFormat="1" ht="12.75" customHeight="1">
      <c r="A51" s="32">
        <v>3</v>
      </c>
      <c r="B51" s="856" t="s">
        <v>65</v>
      </c>
      <c r="C51" s="856"/>
      <c r="D51" s="35">
        <f>ROUND(M51/L51,5)</f>
        <v>36.58</v>
      </c>
      <c r="E51" s="35">
        <f>ROUND(N51/L51,5)</f>
        <v>36.58</v>
      </c>
      <c r="F51" s="36"/>
      <c r="G51" s="37"/>
      <c r="H51" s="35">
        <f>ROUND(L51/J51/1*1000,5)</f>
        <v>293.53715</v>
      </c>
      <c r="I51" s="69">
        <f>I52+I53</f>
        <v>4.59016</v>
      </c>
      <c r="J51" s="39">
        <f>J52+J53</f>
        <v>207</v>
      </c>
      <c r="K51" s="39"/>
      <c r="L51" s="80">
        <f>L52+L53</f>
        <v>60.76219</v>
      </c>
      <c r="M51" s="41">
        <f>M52+M53</f>
        <v>2222.681</v>
      </c>
      <c r="N51" s="41">
        <f>N52+N53</f>
        <v>2222.681</v>
      </c>
      <c r="O51" s="775">
        <f>ROUND(X51/W51,5)</f>
        <v>36.58</v>
      </c>
      <c r="P51" s="775">
        <f>ROUND(Y51/W51,5)</f>
        <v>36.58</v>
      </c>
      <c r="Q51" s="36"/>
      <c r="R51" s="37"/>
      <c r="S51" s="35">
        <f>ROUND(W51/U51/1*1000,5)</f>
        <v>293.53715</v>
      </c>
      <c r="T51" s="69">
        <f>T52+T53</f>
        <v>4.59016</v>
      </c>
      <c r="U51" s="39">
        <f>U52+U53</f>
        <v>207</v>
      </c>
      <c r="V51" s="54"/>
      <c r="W51" s="42">
        <f>W52+W53</f>
        <v>60.76219</v>
      </c>
      <c r="X51" s="41">
        <f>X52+X53</f>
        <v>2222.681</v>
      </c>
      <c r="Y51" s="41">
        <f>Y52+Y53</f>
        <v>2222.681</v>
      </c>
      <c r="Z51" s="43">
        <f aca="true" t="shared" si="6" ref="Z51:AA53">ROUND(X51/M51,4)</f>
        <v>1</v>
      </c>
      <c r="AA51" s="43">
        <f t="shared" si="6"/>
        <v>1</v>
      </c>
      <c r="AB51" s="44">
        <f>AB52+AB53</f>
        <v>0</v>
      </c>
    </row>
    <row r="52" spans="1:28" s="45" customFormat="1" ht="47.25" customHeight="1">
      <c r="A52" s="46" t="s">
        <v>66</v>
      </c>
      <c r="B52" s="81" t="s">
        <v>67</v>
      </c>
      <c r="C52" s="72" t="s">
        <v>68</v>
      </c>
      <c r="D52" s="35">
        <v>36.58</v>
      </c>
      <c r="E52" s="35">
        <v>36.58</v>
      </c>
      <c r="F52" s="36">
        <f>ROUND(E52/D52%,1)</f>
        <v>100</v>
      </c>
      <c r="G52" s="37"/>
      <c r="H52" s="48" t="s">
        <v>45</v>
      </c>
      <c r="I52" s="49">
        <f>'норм. ХВС для ЦО (4-1) '!H66</f>
        <v>0</v>
      </c>
      <c r="J52" s="64">
        <f>'норм. ХВС для ЦО (4-1) '!I66</f>
        <v>0</v>
      </c>
      <c r="K52" s="54" t="s">
        <v>46</v>
      </c>
      <c r="L52" s="82"/>
      <c r="M52" s="83">
        <f>ROUND(D52*L52,3)</f>
        <v>0</v>
      </c>
      <c r="N52" s="83">
        <f>ROUND(E52*L52,3)</f>
        <v>0</v>
      </c>
      <c r="O52" s="775">
        <v>36.58</v>
      </c>
      <c r="P52" s="775">
        <v>36.58</v>
      </c>
      <c r="Q52" s="36">
        <f>ROUND(P52/O52%,1)</f>
        <v>100</v>
      </c>
      <c r="R52" s="37"/>
      <c r="S52" s="48" t="s">
        <v>45</v>
      </c>
      <c r="T52" s="53">
        <f>'норм. ХВС для ЦО (4-1) '!M66</f>
        <v>0</v>
      </c>
      <c r="U52" s="64">
        <f>'норм. ХВС для ЦО (4-1) '!N66</f>
        <v>0</v>
      </c>
      <c r="V52" s="54" t="s">
        <v>46</v>
      </c>
      <c r="W52" s="55">
        <f>L52</f>
        <v>0</v>
      </c>
      <c r="X52" s="83">
        <f>ROUND(O52*W52,3)</f>
        <v>0</v>
      </c>
      <c r="Y52" s="83">
        <f>ROUND(P52*W52,3)</f>
        <v>0</v>
      </c>
      <c r="Z52" s="56" t="e">
        <f t="shared" si="6"/>
        <v>#DIV/0!</v>
      </c>
      <c r="AA52" s="56" t="e">
        <f t="shared" si="6"/>
        <v>#DIV/0!</v>
      </c>
      <c r="AB52" s="57">
        <f>X52-Y52</f>
        <v>0</v>
      </c>
    </row>
    <row r="53" spans="1:28" s="45" customFormat="1" ht="51" customHeight="1">
      <c r="A53" s="46" t="s">
        <v>69</v>
      </c>
      <c r="B53" s="81" t="s">
        <v>48</v>
      </c>
      <c r="C53" s="72" t="s">
        <v>68</v>
      </c>
      <c r="D53" s="35">
        <v>36.58</v>
      </c>
      <c r="E53" s="35">
        <v>36.58</v>
      </c>
      <c r="F53" s="36">
        <f>ROUND(E53/D53%,1)</f>
        <v>100</v>
      </c>
      <c r="G53" s="37" t="s">
        <v>63</v>
      </c>
      <c r="H53" s="35">
        <f>'норм. ХВС для ЦО (4-1) '!F53</f>
        <v>293.53715</v>
      </c>
      <c r="I53" s="49">
        <f>'норм. ХВС для ЦО (4-1) '!H53</f>
        <v>4.59016</v>
      </c>
      <c r="J53" s="50">
        <f>'норм. ХВС для ЦО (4-1) '!I53</f>
        <v>207</v>
      </c>
      <c r="K53" s="54" t="s">
        <v>46</v>
      </c>
      <c r="L53" s="82">
        <f>ROUND(H53*J53*1/1000,5)</f>
        <v>60.76219</v>
      </c>
      <c r="M53" s="83">
        <f>ROUND(D53*L53,3)</f>
        <v>2222.681</v>
      </c>
      <c r="N53" s="83">
        <f>ROUND(E53*L53,3)</f>
        <v>2222.681</v>
      </c>
      <c r="O53" s="775">
        <v>36.58</v>
      </c>
      <c r="P53" s="775">
        <v>36.58</v>
      </c>
      <c r="Q53" s="36">
        <f>ROUND(P53/O53%,1)</f>
        <v>100</v>
      </c>
      <c r="R53" s="37" t="s">
        <v>63</v>
      </c>
      <c r="S53" s="35">
        <f>'норм. ХВС для ЦО (4-1) '!K53</f>
        <v>293.53715</v>
      </c>
      <c r="T53" s="53">
        <f>'норм. ХВС для ЦО (4-1) '!M53</f>
        <v>4.59016</v>
      </c>
      <c r="U53" s="50">
        <f>'норм. ХВС для ЦО (4-1) '!N53</f>
        <v>207</v>
      </c>
      <c r="V53" s="54" t="s">
        <v>46</v>
      </c>
      <c r="W53" s="75">
        <f>ROUND(S53*U53*1/1000,5)</f>
        <v>60.76219</v>
      </c>
      <c r="X53" s="83">
        <f>ROUND(O53*W53,3)</f>
        <v>2222.681</v>
      </c>
      <c r="Y53" s="83">
        <f>ROUND(P53*W53,3)</f>
        <v>2222.681</v>
      </c>
      <c r="Z53" s="56">
        <f t="shared" si="6"/>
        <v>1</v>
      </c>
      <c r="AA53" s="56">
        <f t="shared" si="6"/>
        <v>1</v>
      </c>
      <c r="AB53" s="57">
        <f>X53-Y53</f>
        <v>0</v>
      </c>
    </row>
    <row r="54" spans="1:28" s="45" customFormat="1" ht="6" customHeight="1">
      <c r="A54" s="60"/>
      <c r="B54" s="84"/>
      <c r="C54" s="72"/>
      <c r="D54" s="35"/>
      <c r="E54" s="35"/>
      <c r="F54" s="36"/>
      <c r="G54" s="37"/>
      <c r="H54" s="35"/>
      <c r="I54" s="49"/>
      <c r="J54" s="50"/>
      <c r="K54" s="54"/>
      <c r="L54" s="79"/>
      <c r="M54" s="53"/>
      <c r="N54" s="53"/>
      <c r="O54" s="775"/>
      <c r="P54" s="775"/>
      <c r="Q54" s="36"/>
      <c r="R54" s="37"/>
      <c r="S54" s="35"/>
      <c r="T54" s="50"/>
      <c r="U54" s="50"/>
      <c r="V54" s="54"/>
      <c r="W54" s="55"/>
      <c r="X54" s="53"/>
      <c r="Y54" s="53"/>
      <c r="Z54" s="56"/>
      <c r="AA54" s="56"/>
      <c r="AB54" s="57"/>
    </row>
    <row r="55" spans="1:28" s="45" customFormat="1" ht="12.75" customHeight="1">
      <c r="A55" s="32">
        <v>4</v>
      </c>
      <c r="B55" s="851" t="s">
        <v>70</v>
      </c>
      <c r="C55" s="851"/>
      <c r="D55" s="35">
        <f>ROUND(M55/L55,5)</f>
        <v>69.54984</v>
      </c>
      <c r="E55" s="35">
        <f>ROUND(N55/L55,5)</f>
        <v>69.54984</v>
      </c>
      <c r="F55" s="36"/>
      <c r="G55" s="37"/>
      <c r="H55" s="35">
        <f>ROUND(L55/J55/1*1000,5)</f>
        <v>6.4755</v>
      </c>
      <c r="I55" s="69">
        <f>I56+I57</f>
        <v>8.8</v>
      </c>
      <c r="J55" s="39">
        <f>J56+J57</f>
        <v>400</v>
      </c>
      <c r="K55" s="39"/>
      <c r="L55" s="85">
        <f>L56+L57</f>
        <v>2.5902</v>
      </c>
      <c r="M55" s="41">
        <f>M56+M57</f>
        <v>180.148</v>
      </c>
      <c r="N55" s="41">
        <f>N56+N57</f>
        <v>180.148</v>
      </c>
      <c r="O55" s="775">
        <f>ROUND(X55/W55,5)</f>
        <v>69.54984</v>
      </c>
      <c r="P55" s="775">
        <f>ROUND(Y55/W55,5)</f>
        <v>69.54984</v>
      </c>
      <c r="Q55" s="36"/>
      <c r="R55" s="37"/>
      <c r="S55" s="35">
        <f>ROUND(W55/U55/6*1000,5)</f>
        <v>1.07925</v>
      </c>
      <c r="T55" s="69">
        <f>T56+T57</f>
        <v>8.8</v>
      </c>
      <c r="U55" s="39">
        <f>U56+U57</f>
        <v>400</v>
      </c>
      <c r="V55" s="54"/>
      <c r="W55" s="42">
        <f>W56+W57</f>
        <v>2.5902</v>
      </c>
      <c r="X55" s="41">
        <f>X56+X57</f>
        <v>180.148</v>
      </c>
      <c r="Y55" s="41">
        <f>Y56+Y57</f>
        <v>180.148</v>
      </c>
      <c r="Z55" s="43">
        <f aca="true" t="shared" si="7" ref="Z55:AA57">ROUND(X55/M55,4)</f>
        <v>1</v>
      </c>
      <c r="AA55" s="43">
        <f t="shared" si="7"/>
        <v>1</v>
      </c>
      <c r="AB55" s="44">
        <f>AB56+AB57</f>
        <v>0</v>
      </c>
    </row>
    <row r="56" spans="1:28" s="45" customFormat="1" ht="51.75" customHeight="1">
      <c r="A56" s="46" t="s">
        <v>71</v>
      </c>
      <c r="B56" s="81" t="s">
        <v>72</v>
      </c>
      <c r="C56" s="72" t="s">
        <v>68</v>
      </c>
      <c r="D56" s="35"/>
      <c r="E56" s="35"/>
      <c r="F56" s="36" t="e">
        <f>ROUND(E56/D56%,1)</f>
        <v>#DIV/0!</v>
      </c>
      <c r="G56" s="37"/>
      <c r="H56" s="48" t="s">
        <v>45</v>
      </c>
      <c r="I56" s="53"/>
      <c r="J56" s="64"/>
      <c r="K56" s="54" t="s">
        <v>46</v>
      </c>
      <c r="L56" s="86"/>
      <c r="M56" s="83">
        <f>ROUND(D56*L56,3)</f>
        <v>0</v>
      </c>
      <c r="N56" s="83">
        <f>ROUND(E56*L56,3)</f>
        <v>0</v>
      </c>
      <c r="O56" s="775"/>
      <c r="P56" s="775"/>
      <c r="Q56" s="36" t="e">
        <f>ROUND(P56/O56%,1)</f>
        <v>#DIV/0!</v>
      </c>
      <c r="R56" s="37"/>
      <c r="S56" s="48" t="s">
        <v>45</v>
      </c>
      <c r="T56" s="49"/>
      <c r="U56" s="64"/>
      <c r="V56" s="54" t="s">
        <v>46</v>
      </c>
      <c r="W56" s="55">
        <f>L56</f>
        <v>0</v>
      </c>
      <c r="X56" s="83">
        <f>ROUND(O56*W56,3)</f>
        <v>0</v>
      </c>
      <c r="Y56" s="83">
        <f>ROUND(P56*W56,3)</f>
        <v>0</v>
      </c>
      <c r="Z56" s="56" t="e">
        <f t="shared" si="7"/>
        <v>#DIV/0!</v>
      </c>
      <c r="AA56" s="56" t="e">
        <f t="shared" si="7"/>
        <v>#DIV/0!</v>
      </c>
      <c r="AB56" s="87">
        <f>X56-Y56</f>
        <v>0</v>
      </c>
    </row>
    <row r="57" spans="1:28" s="45" customFormat="1" ht="51">
      <c r="A57" s="46" t="s">
        <v>73</v>
      </c>
      <c r="B57" s="81" t="s">
        <v>74</v>
      </c>
      <c r="C57" s="72" t="s">
        <v>68</v>
      </c>
      <c r="D57" s="35">
        <v>69.55</v>
      </c>
      <c r="E57" s="35">
        <f>D57</f>
        <v>69.55</v>
      </c>
      <c r="F57" s="36">
        <f>ROUND(E57/D57%,1)</f>
        <v>100</v>
      </c>
      <c r="G57" s="37" t="s">
        <v>63</v>
      </c>
      <c r="H57" s="35">
        <f>'норм водоотв  ЦО (5-1)'!E51</f>
        <v>6.4755</v>
      </c>
      <c r="I57" s="53">
        <f>'норм водоотв  ЦО (5-1)'!G51</f>
        <v>8.8</v>
      </c>
      <c r="J57" s="50">
        <f>'норм водоотв  ЦО (5-1)'!H51</f>
        <v>400</v>
      </c>
      <c r="K57" s="54" t="s">
        <v>46</v>
      </c>
      <c r="L57" s="86">
        <f>ROUND(H57*J57*1/1000,5)</f>
        <v>2.5902</v>
      </c>
      <c r="M57" s="83">
        <f>ROUND(D57*L57,3)</f>
        <v>180.148</v>
      </c>
      <c r="N57" s="83">
        <f>ROUND(E57*L57,3)</f>
        <v>180.148</v>
      </c>
      <c r="O57" s="775">
        <v>69.55</v>
      </c>
      <c r="P57" s="775">
        <f>O57</f>
        <v>69.55</v>
      </c>
      <c r="Q57" s="36">
        <f>ROUND(P57/O57%,1)</f>
        <v>100</v>
      </c>
      <c r="R57" s="37" t="s">
        <v>63</v>
      </c>
      <c r="S57" s="35">
        <f>'норм водоотв  ЦО (5-1)'!J51</f>
        <v>6.4755</v>
      </c>
      <c r="T57" s="49">
        <f>'норм водоотв  ЦО (5-1)'!L51</f>
        <v>8.8</v>
      </c>
      <c r="U57" s="50">
        <f>'норм водоотв  ЦО (5-1)'!M51</f>
        <v>400</v>
      </c>
      <c r="V57" s="54" t="s">
        <v>46</v>
      </c>
      <c r="W57" s="75">
        <f>ROUND(S57*U57*1/1000,5)</f>
        <v>2.5902</v>
      </c>
      <c r="X57" s="83">
        <f>ROUND(O57*W57,3)</f>
        <v>180.148</v>
      </c>
      <c r="Y57" s="83">
        <f>ROUND(P57*W57,3)</f>
        <v>180.148</v>
      </c>
      <c r="Z57" s="56">
        <f t="shared" si="7"/>
        <v>1</v>
      </c>
      <c r="AA57" s="56">
        <f t="shared" si="7"/>
        <v>1</v>
      </c>
      <c r="AB57" s="87">
        <f>X57-Y57</f>
        <v>0</v>
      </c>
    </row>
    <row r="58" spans="1:28" s="45" customFormat="1" ht="6.75" customHeight="1">
      <c r="A58" s="60"/>
      <c r="B58" s="84"/>
      <c r="C58" s="72"/>
      <c r="D58" s="35"/>
      <c r="E58" s="35"/>
      <c r="F58" s="36"/>
      <c r="G58" s="37"/>
      <c r="H58" s="35"/>
      <c r="I58" s="53"/>
      <c r="J58" s="50"/>
      <c r="K58" s="54"/>
      <c r="L58" s="88"/>
      <c r="M58" s="53"/>
      <c r="N58" s="53"/>
      <c r="O58" s="775"/>
      <c r="P58" s="775"/>
      <c r="Q58" s="36"/>
      <c r="R58" s="37"/>
      <c r="S58" s="35"/>
      <c r="T58" s="49"/>
      <c r="U58" s="50"/>
      <c r="V58" s="54"/>
      <c r="W58" s="55"/>
      <c r="X58" s="53"/>
      <c r="Y58" s="53"/>
      <c r="Z58" s="56"/>
      <c r="AA58" s="73"/>
      <c r="AB58" s="57"/>
    </row>
    <row r="59" spans="1:28" s="45" customFormat="1" ht="6" customHeight="1">
      <c r="A59" s="32"/>
      <c r="B59" s="33"/>
      <c r="C59" s="54"/>
      <c r="D59" s="35"/>
      <c r="E59" s="35"/>
      <c r="F59" s="36"/>
      <c r="G59" s="37"/>
      <c r="H59" s="35"/>
      <c r="I59" s="50"/>
      <c r="J59" s="64"/>
      <c r="K59" s="54"/>
      <c r="L59" s="86"/>
      <c r="M59" s="53"/>
      <c r="N59" s="53"/>
      <c r="O59" s="775"/>
      <c r="P59" s="775"/>
      <c r="Q59" s="36"/>
      <c r="R59" s="37"/>
      <c r="S59" s="35"/>
      <c r="T59" s="49"/>
      <c r="U59" s="64"/>
      <c r="V59" s="54"/>
      <c r="W59" s="55"/>
      <c r="X59" s="53"/>
      <c r="Y59" s="53"/>
      <c r="Z59" s="56"/>
      <c r="AA59" s="73"/>
      <c r="AB59" s="57"/>
    </row>
    <row r="60" spans="1:28" s="45" customFormat="1" ht="12.75">
      <c r="A60" s="32">
        <v>5</v>
      </c>
      <c r="B60" s="33" t="s">
        <v>75</v>
      </c>
      <c r="C60" s="54"/>
      <c r="D60" s="35">
        <f>ROUND(M60/L60,5)</f>
        <v>1.84396</v>
      </c>
      <c r="E60" s="35">
        <f>ROUND(N60/L60,5)</f>
        <v>1.84396</v>
      </c>
      <c r="F60" s="36"/>
      <c r="G60" s="37"/>
      <c r="H60" s="35">
        <f>ROUND(L60/J60/1*1000,5)</f>
        <v>92.11682</v>
      </c>
      <c r="I60" s="69">
        <f>I61+I62</f>
        <v>18.424</v>
      </c>
      <c r="J60" s="69">
        <f>J61+J62</f>
        <v>856</v>
      </c>
      <c r="K60" s="39"/>
      <c r="L60" s="85">
        <f>L61+L62</f>
        <v>78.852</v>
      </c>
      <c r="M60" s="41">
        <f>M61+M62</f>
        <v>145.4</v>
      </c>
      <c r="N60" s="41">
        <f>N61+N62</f>
        <v>145.4</v>
      </c>
      <c r="O60" s="775">
        <f>ROUND(X60/W60,5)</f>
        <v>1.84396</v>
      </c>
      <c r="P60" s="775">
        <f>ROUND(Y60/W60,5)</f>
        <v>1.84396</v>
      </c>
      <c r="Q60" s="36"/>
      <c r="R60" s="37"/>
      <c r="S60" s="35">
        <f>ROUND(W60/U60/1*1000,5)</f>
        <v>92.11682</v>
      </c>
      <c r="T60" s="69">
        <f>T61+T62</f>
        <v>18.424</v>
      </c>
      <c r="U60" s="39">
        <f>U61+U62</f>
        <v>856</v>
      </c>
      <c r="V60" s="39"/>
      <c r="W60" s="42">
        <f>W61+W62</f>
        <v>78.852</v>
      </c>
      <c r="X60" s="41">
        <f>X61+X62</f>
        <v>145.4</v>
      </c>
      <c r="Y60" s="41">
        <f>Y61+Y62</f>
        <v>145.4</v>
      </c>
      <c r="Z60" s="43">
        <f aca="true" t="shared" si="8" ref="Z60:AA62">ROUND(X60/M60,4)</f>
        <v>1</v>
      </c>
      <c r="AA60" s="43">
        <f t="shared" si="8"/>
        <v>1</v>
      </c>
      <c r="AB60" s="44">
        <f>AB61+AB62</f>
        <v>0</v>
      </c>
    </row>
    <row r="61" spans="1:28" s="45" customFormat="1" ht="33.75" customHeight="1">
      <c r="A61" s="89" t="s">
        <v>76</v>
      </c>
      <c r="B61" s="90" t="s">
        <v>77</v>
      </c>
      <c r="C61" s="54" t="s">
        <v>78</v>
      </c>
      <c r="D61" s="35"/>
      <c r="E61" s="35"/>
      <c r="F61" s="36" t="e">
        <f>ROUND(E61/D61%,1)</f>
        <v>#DIV/0!</v>
      </c>
      <c r="G61" s="37" t="s">
        <v>79</v>
      </c>
      <c r="H61" s="35"/>
      <c r="I61" s="53"/>
      <c r="J61" s="64"/>
      <c r="K61" s="54" t="s">
        <v>80</v>
      </c>
      <c r="L61" s="91">
        <f>ROUND(H61*J61*1/1000,5)</f>
        <v>0</v>
      </c>
      <c r="M61" s="52">
        <f>ROUND(D61*L61,3)</f>
        <v>0</v>
      </c>
      <c r="N61" s="52">
        <f>ROUND(E61*L61,3)</f>
        <v>0</v>
      </c>
      <c r="O61" s="775"/>
      <c r="P61" s="775"/>
      <c r="Q61" s="36" t="e">
        <f>ROUND(P61/O61%,1)</f>
        <v>#DIV/0!</v>
      </c>
      <c r="R61" s="37" t="s">
        <v>79</v>
      </c>
      <c r="S61" s="35"/>
      <c r="T61" s="49"/>
      <c r="U61" s="64"/>
      <c r="V61" s="54" t="s">
        <v>80</v>
      </c>
      <c r="W61" s="75">
        <f>ROUND(S61*U61*1/1000,5)</f>
        <v>0</v>
      </c>
      <c r="X61" s="52">
        <f>ROUND(O61*W61,3)</f>
        <v>0</v>
      </c>
      <c r="Y61" s="52">
        <f>ROUND(P61*W61,3)</f>
        <v>0</v>
      </c>
      <c r="Z61" s="56" t="e">
        <f t="shared" si="8"/>
        <v>#DIV/0!</v>
      </c>
      <c r="AA61" s="56" t="e">
        <f t="shared" si="8"/>
        <v>#DIV/0!</v>
      </c>
      <c r="AB61" s="87">
        <f>X61-Y61</f>
        <v>0</v>
      </c>
    </row>
    <row r="62" spans="1:28" s="45" customFormat="1" ht="32.25" customHeight="1">
      <c r="A62" s="89" t="s">
        <v>81</v>
      </c>
      <c r="B62" s="90" t="s">
        <v>82</v>
      </c>
      <c r="C62" s="54" t="s">
        <v>78</v>
      </c>
      <c r="D62" s="35">
        <f>'7-2'!C43</f>
        <v>1.843961</v>
      </c>
      <c r="E62" s="35">
        <f>D62</f>
        <v>1.843961</v>
      </c>
      <c r="F62" s="36">
        <f>ROUND(E62/D62%,1)</f>
        <v>100</v>
      </c>
      <c r="G62" s="37" t="s">
        <v>79</v>
      </c>
      <c r="H62" s="35">
        <f>H34</f>
        <v>92.11682243</v>
      </c>
      <c r="I62" s="53">
        <v>18.424</v>
      </c>
      <c r="J62" s="64">
        <v>856</v>
      </c>
      <c r="K62" s="54" t="s">
        <v>80</v>
      </c>
      <c r="L62" s="91">
        <f>ROUND(H62*J62*1/1000,5)</f>
        <v>78.852</v>
      </c>
      <c r="M62" s="52">
        <f>ROUND(D62*L62,3)</f>
        <v>145.4</v>
      </c>
      <c r="N62" s="52">
        <f>ROUND(E62*L62,3)</f>
        <v>145.4</v>
      </c>
      <c r="O62" s="775">
        <f>D62</f>
        <v>1.843961</v>
      </c>
      <c r="P62" s="775">
        <f>E62</f>
        <v>1.843961</v>
      </c>
      <c r="Q62" s="36">
        <f>ROUND(P62/O62%,1)</f>
        <v>100</v>
      </c>
      <c r="R62" s="37" t="s">
        <v>79</v>
      </c>
      <c r="S62" s="35">
        <f>H62</f>
        <v>92.11682243</v>
      </c>
      <c r="T62" s="49">
        <v>18.424</v>
      </c>
      <c r="U62" s="64">
        <v>856</v>
      </c>
      <c r="V62" s="54" t="s">
        <v>80</v>
      </c>
      <c r="W62" s="75">
        <f>ROUND(S62*U62*1/1000,5)</f>
        <v>78.852</v>
      </c>
      <c r="X62" s="52">
        <f>ROUND(O62*W62,3)</f>
        <v>145.4</v>
      </c>
      <c r="Y62" s="52">
        <f>ROUND(P62*W62,3)</f>
        <v>145.4</v>
      </c>
      <c r="Z62" s="56">
        <f t="shared" si="8"/>
        <v>1</v>
      </c>
      <c r="AA62" s="56">
        <f t="shared" si="8"/>
        <v>1</v>
      </c>
      <c r="AB62" s="87">
        <f>X62-Y62</f>
        <v>0</v>
      </c>
    </row>
    <row r="63" spans="1:28" s="45" customFormat="1" ht="6.75" customHeight="1">
      <c r="A63" s="89"/>
      <c r="B63" s="90"/>
      <c r="C63" s="54"/>
      <c r="D63" s="35"/>
      <c r="E63" s="35"/>
      <c r="F63" s="36"/>
      <c r="G63" s="37"/>
      <c r="H63" s="35"/>
      <c r="I63" s="50"/>
      <c r="J63" s="64"/>
      <c r="K63" s="54"/>
      <c r="L63" s="88"/>
      <c r="M63" s="53"/>
      <c r="N63" s="53"/>
      <c r="O63" s="775"/>
      <c r="P63" s="775"/>
      <c r="Q63" s="36"/>
      <c r="R63" s="37"/>
      <c r="S63" s="35"/>
      <c r="T63" s="49"/>
      <c r="U63" s="64"/>
      <c r="V63" s="54"/>
      <c r="W63" s="55"/>
      <c r="X63" s="53"/>
      <c r="Y63" s="53"/>
      <c r="Z63" s="56"/>
      <c r="AA63" s="73"/>
      <c r="AB63" s="57"/>
    </row>
    <row r="64" spans="1:28" s="97" customFormat="1" ht="51">
      <c r="A64" s="32">
        <v>6</v>
      </c>
      <c r="B64" s="33" t="s">
        <v>83</v>
      </c>
      <c r="C64" s="92"/>
      <c r="D64" s="93">
        <v>44.12</v>
      </c>
      <c r="E64" s="93">
        <v>44.12</v>
      </c>
      <c r="F64" s="94">
        <f>ROUND(E64/D64%,1)</f>
        <v>100</v>
      </c>
      <c r="G64" s="95" t="s">
        <v>84</v>
      </c>
      <c r="H64" s="93">
        <v>3</v>
      </c>
      <c r="I64" s="69">
        <f>'Газ (8) '!H25</f>
        <v>18.424</v>
      </c>
      <c r="J64" s="39">
        <v>885</v>
      </c>
      <c r="K64" s="92" t="s">
        <v>85</v>
      </c>
      <c r="L64" s="85">
        <f>ROUND(H64*J64*1/1000,5)</f>
        <v>2.655</v>
      </c>
      <c r="M64" s="41">
        <f>ROUND(D64*L64,3)</f>
        <v>117.139</v>
      </c>
      <c r="N64" s="41">
        <f>ROUND(E64*L64,3)</f>
        <v>117.139</v>
      </c>
      <c r="O64" s="776">
        <v>44.12</v>
      </c>
      <c r="P64" s="776">
        <v>44.12</v>
      </c>
      <c r="Q64" s="94">
        <f>ROUND(P64/O64%,1)</f>
        <v>100</v>
      </c>
      <c r="R64" s="95" t="s">
        <v>84</v>
      </c>
      <c r="S64" s="93">
        <f>H64</f>
        <v>3</v>
      </c>
      <c r="T64" s="69">
        <v>18.424</v>
      </c>
      <c r="U64" s="39">
        <v>856</v>
      </c>
      <c r="V64" s="92" t="s">
        <v>85</v>
      </c>
      <c r="W64" s="96">
        <f>ROUND(S64*U64*1/1000,5)</f>
        <v>2.568</v>
      </c>
      <c r="X64" s="41">
        <f>ROUND(O64*W64,3)</f>
        <v>113.3</v>
      </c>
      <c r="Y64" s="41">
        <f>ROUND(P64*W64,3)</f>
        <v>113.3</v>
      </c>
      <c r="Z64" s="43">
        <f>ROUND(X64/M64,4)</f>
        <v>0.9672</v>
      </c>
      <c r="AA64" s="43">
        <f>ROUND(Y64/N64,4)</f>
        <v>0.9672</v>
      </c>
      <c r="AB64" s="44">
        <f>X64-Y64</f>
        <v>0</v>
      </c>
    </row>
    <row r="65" spans="1:28" s="102" customFormat="1" ht="12.75">
      <c r="A65" s="98"/>
      <c r="B65" s="98" t="s">
        <v>86</v>
      </c>
      <c r="C65" s="99" t="s">
        <v>45</v>
      </c>
      <c r="D65" s="99" t="s">
        <v>45</v>
      </c>
      <c r="E65" s="99" t="s">
        <v>45</v>
      </c>
      <c r="F65" s="99" t="s">
        <v>45</v>
      </c>
      <c r="G65" s="99" t="s">
        <v>45</v>
      </c>
      <c r="H65" s="99" t="s">
        <v>45</v>
      </c>
      <c r="I65" s="99" t="s">
        <v>45</v>
      </c>
      <c r="J65" s="99" t="s">
        <v>45</v>
      </c>
      <c r="K65" s="99" t="s">
        <v>45</v>
      </c>
      <c r="L65" s="99" t="s">
        <v>45</v>
      </c>
      <c r="M65" s="100">
        <f>M41+M45+M51+M55+M60+M64</f>
        <v>27889.838</v>
      </c>
      <c r="N65" s="100">
        <f>N41+N45+N51+N55+N60+N64</f>
        <v>27818.604000000003</v>
      </c>
      <c r="O65" s="777" t="s">
        <v>45</v>
      </c>
      <c r="P65" s="777" t="s">
        <v>45</v>
      </c>
      <c r="Q65" s="99" t="s">
        <v>45</v>
      </c>
      <c r="R65" s="99" t="s">
        <v>45</v>
      </c>
      <c r="S65" s="99" t="s">
        <v>45</v>
      </c>
      <c r="T65" s="99" t="s">
        <v>45</v>
      </c>
      <c r="U65" s="99" t="s">
        <v>45</v>
      </c>
      <c r="V65" s="99" t="s">
        <v>45</v>
      </c>
      <c r="W65" s="101" t="s">
        <v>45</v>
      </c>
      <c r="X65" s="100">
        <f>X41+X45+X51+X55+X60+X64</f>
        <v>2661.5290000000005</v>
      </c>
      <c r="Y65" s="100">
        <f>Y41+Y45+Y51+Y55+Y60+Y64</f>
        <v>2661.5290000000005</v>
      </c>
      <c r="Z65" s="43">
        <f>ROUND(X65/M65,1)</f>
        <v>0.1</v>
      </c>
      <c r="AA65" s="43">
        <f>ROUND(Y65/N65,1)</f>
        <v>0.1</v>
      </c>
      <c r="AB65" s="44">
        <f>ROUND(X65-Y65,3)</f>
        <v>0</v>
      </c>
    </row>
    <row r="66" spans="1:28" s="108" customFormat="1" ht="45" customHeight="1">
      <c r="A66" s="103"/>
      <c r="B66" s="852" t="s">
        <v>87</v>
      </c>
      <c r="C66" s="852"/>
      <c r="D66" s="99" t="s">
        <v>45</v>
      </c>
      <c r="E66" s="99" t="s">
        <v>45</v>
      </c>
      <c r="F66" s="99" t="s">
        <v>45</v>
      </c>
      <c r="G66" s="99" t="s">
        <v>45</v>
      </c>
      <c r="H66" s="99" t="s">
        <v>45</v>
      </c>
      <c r="I66" s="99" t="s">
        <v>45</v>
      </c>
      <c r="J66" s="99" t="s">
        <v>45</v>
      </c>
      <c r="K66" s="99" t="s">
        <v>45</v>
      </c>
      <c r="L66" s="99" t="s">
        <v>45</v>
      </c>
      <c r="M66" s="99" t="s">
        <v>45</v>
      </c>
      <c r="N66" s="99" t="s">
        <v>45</v>
      </c>
      <c r="O66" s="777" t="s">
        <v>45</v>
      </c>
      <c r="P66" s="777" t="s">
        <v>45</v>
      </c>
      <c r="Q66" s="99" t="s">
        <v>45</v>
      </c>
      <c r="R66" s="99" t="s">
        <v>45</v>
      </c>
      <c r="S66" s="99" t="s">
        <v>45</v>
      </c>
      <c r="T66" s="99" t="s">
        <v>45</v>
      </c>
      <c r="U66" s="99" t="s">
        <v>45</v>
      </c>
      <c r="V66" s="99" t="s">
        <v>45</v>
      </c>
      <c r="W66" s="101" t="s">
        <v>45</v>
      </c>
      <c r="X66" s="99" t="s">
        <v>45</v>
      </c>
      <c r="Y66" s="104">
        <f>ROUND(N65*1,3)</f>
        <v>27818.604</v>
      </c>
      <c r="Z66" s="105" t="s">
        <v>45</v>
      </c>
      <c r="AA66" s="106">
        <f>ROUND(Y66/N65,4)</f>
        <v>1</v>
      </c>
      <c r="AB66" s="107">
        <f>ROUND(X65-Y66,3)</f>
        <v>-25157.075</v>
      </c>
    </row>
    <row r="67" spans="1:28" s="108" customFormat="1" ht="19.5" customHeight="1">
      <c r="A67" s="109"/>
      <c r="B67" s="110"/>
      <c r="C67" s="111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778"/>
      <c r="P67" s="779"/>
      <c r="Q67" s="113"/>
      <c r="R67" s="112"/>
      <c r="S67" s="112"/>
      <c r="T67" s="112"/>
      <c r="U67" s="112"/>
      <c r="V67" s="112"/>
      <c r="W67" s="114"/>
      <c r="X67" s="112"/>
      <c r="Y67" s="115"/>
      <c r="Z67" s="116"/>
      <c r="AA67" s="117"/>
      <c r="AB67" s="118"/>
    </row>
    <row r="68" spans="1:28" s="125" customFormat="1" ht="31.5" customHeight="1">
      <c r="A68" s="119"/>
      <c r="B68" s="853" t="s">
        <v>89</v>
      </c>
      <c r="C68" s="853"/>
      <c r="D68" s="853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780"/>
      <c r="P68" s="781"/>
      <c r="Q68" s="121"/>
      <c r="R68" s="120"/>
      <c r="S68" s="120"/>
      <c r="T68" s="120"/>
      <c r="U68" s="120"/>
      <c r="V68" s="120"/>
      <c r="W68" s="122"/>
      <c r="X68" s="120"/>
      <c r="Y68" s="120"/>
      <c r="Z68" s="123"/>
      <c r="AA68" s="123"/>
      <c r="AB68" s="124"/>
    </row>
    <row r="69" spans="1:28" s="139" customFormat="1" ht="29.25" customHeight="1">
      <c r="A69" s="126">
        <v>1</v>
      </c>
      <c r="B69" s="127" t="s">
        <v>39</v>
      </c>
      <c r="C69" s="128" t="s">
        <v>40</v>
      </c>
      <c r="D69" s="129">
        <f>ROUND(M69/L69,5)</f>
        <v>1615.64012</v>
      </c>
      <c r="E69" s="129">
        <f>ROUND(N69/L69,5)</f>
        <v>2022.74842</v>
      </c>
      <c r="F69" s="130">
        <f>ROUND(E69/D69%,1)</f>
        <v>125.2</v>
      </c>
      <c r="G69" s="131" t="s">
        <v>41</v>
      </c>
      <c r="H69" s="129">
        <f>ROUND(L69/I69/2,9)</f>
        <v>0.04727999</v>
      </c>
      <c r="I69" s="132">
        <f>I70+I71</f>
        <v>4.59116</v>
      </c>
      <c r="J69" s="133">
        <f>J70+J71</f>
        <v>207</v>
      </c>
      <c r="K69" s="128" t="s">
        <v>42</v>
      </c>
      <c r="L69" s="134">
        <f>L70+L71</f>
        <v>0.43414</v>
      </c>
      <c r="M69" s="135">
        <f>M70+M71</f>
        <v>701.414</v>
      </c>
      <c r="N69" s="135">
        <f>N70+N71</f>
        <v>878.156</v>
      </c>
      <c r="O69" s="782" t="e">
        <f>ROUND(X69/W69,5)</f>
        <v>#DIV/0!</v>
      </c>
      <c r="P69" s="782" t="e">
        <f>ROUND(Y69/W69,5)</f>
        <v>#DIV/0!</v>
      </c>
      <c r="Q69" s="130" t="e">
        <f>ROUND(P69/O69%,1)</f>
        <v>#DIV/0!</v>
      </c>
      <c r="R69" s="131" t="s">
        <v>41</v>
      </c>
      <c r="S69" s="129" t="e">
        <f>ROUND(W69/T69/2,9)</f>
        <v>#DIV/0!</v>
      </c>
      <c r="T69" s="132">
        <f>T70+T71</f>
        <v>0</v>
      </c>
      <c r="U69" s="133">
        <f>U70+U71</f>
        <v>0</v>
      </c>
      <c r="V69" s="131" t="s">
        <v>42</v>
      </c>
      <c r="W69" s="136">
        <f>W70+W71</f>
        <v>0</v>
      </c>
      <c r="X69" s="135">
        <f>X70+X71</f>
        <v>0</v>
      </c>
      <c r="Y69" s="135">
        <f>Y70+Y71</f>
        <v>0</v>
      </c>
      <c r="Z69" s="137">
        <f aca="true" t="shared" si="9" ref="Z69:AA71">ROUND(X69/M69,4)</f>
        <v>0</v>
      </c>
      <c r="AA69" s="137">
        <f t="shared" si="9"/>
        <v>0</v>
      </c>
      <c r="AB69" s="138">
        <f>X69-Y69</f>
        <v>0</v>
      </c>
    </row>
    <row r="70" spans="1:28" s="139" customFormat="1" ht="48" customHeight="1">
      <c r="A70" s="140" t="s">
        <v>43</v>
      </c>
      <c r="B70" s="141" t="s">
        <v>44</v>
      </c>
      <c r="C70" s="128" t="s">
        <v>40</v>
      </c>
      <c r="D70" s="129"/>
      <c r="E70" s="129"/>
      <c r="F70" s="130" t="e">
        <f>ROUND(E70/D70%,1)</f>
        <v>#DIV/0!</v>
      </c>
      <c r="G70" s="131" t="s">
        <v>41</v>
      </c>
      <c r="H70" s="142" t="s">
        <v>45</v>
      </c>
      <c r="I70" s="143"/>
      <c r="J70" s="144"/>
      <c r="K70" s="128" t="s">
        <v>42</v>
      </c>
      <c r="L70" s="134"/>
      <c r="M70" s="145">
        <f>ROUND(D70*L70,3)</f>
        <v>0</v>
      </c>
      <c r="N70" s="145">
        <f>ROUND(E70*L70,3)</f>
        <v>0</v>
      </c>
      <c r="O70" s="782"/>
      <c r="P70" s="782"/>
      <c r="Q70" s="130" t="e">
        <f>ROUND(P70/O70%,1)</f>
        <v>#DIV/0!</v>
      </c>
      <c r="R70" s="131" t="s">
        <v>41</v>
      </c>
      <c r="S70" s="142" t="s">
        <v>45</v>
      </c>
      <c r="T70" s="146"/>
      <c r="U70" s="144"/>
      <c r="V70" s="147" t="s">
        <v>90</v>
      </c>
      <c r="W70" s="148">
        <f>L70</f>
        <v>0</v>
      </c>
      <c r="X70" s="145">
        <f>ROUND(O70*W70,3)</f>
        <v>0</v>
      </c>
      <c r="Y70" s="145">
        <f>ROUND(P70*W70,3)</f>
        <v>0</v>
      </c>
      <c r="Z70" s="149" t="e">
        <f t="shared" si="9"/>
        <v>#DIV/0!</v>
      </c>
      <c r="AA70" s="149" t="e">
        <f t="shared" si="9"/>
        <v>#DIV/0!</v>
      </c>
      <c r="AB70" s="150">
        <f>X70-Y70</f>
        <v>0</v>
      </c>
    </row>
    <row r="71" spans="1:28" s="139" customFormat="1" ht="42.75" customHeight="1">
      <c r="A71" s="151" t="s">
        <v>47</v>
      </c>
      <c r="B71" s="141" t="s">
        <v>48</v>
      </c>
      <c r="C71" s="128" t="s">
        <v>40</v>
      </c>
      <c r="D71" s="129">
        <v>1615.64</v>
      </c>
      <c r="E71" s="129">
        <f>'отопление плата . (2-2)'!E71</f>
        <v>2022.748422</v>
      </c>
      <c r="F71" s="130">
        <f>ROUND(E71/D71%,1)</f>
        <v>125.2</v>
      </c>
      <c r="G71" s="131" t="s">
        <v>41</v>
      </c>
      <c r="H71" s="129">
        <f>'норм отопл  (2-1) '!E64</f>
        <v>0.04727999</v>
      </c>
      <c r="I71" s="143">
        <f>'норм отопл  (2-1) '!G64</f>
        <v>4.59116</v>
      </c>
      <c r="J71" s="143">
        <f>'норм отопл  (2-1) '!H64</f>
        <v>207</v>
      </c>
      <c r="K71" s="128" t="s">
        <v>42</v>
      </c>
      <c r="L71" s="152">
        <f>ROUND(H71*I71*2,5)</f>
        <v>0.43414</v>
      </c>
      <c r="M71" s="145">
        <f>ROUND(D71*L71,3)</f>
        <v>701.414</v>
      </c>
      <c r="N71" s="145">
        <f>ROUND(E71*L71,3)</f>
        <v>878.156</v>
      </c>
      <c r="O71" s="782"/>
      <c r="P71" s="782"/>
      <c r="Q71" s="130" t="e">
        <f>ROUND(P71/O71%,1)</f>
        <v>#DIV/0!</v>
      </c>
      <c r="R71" s="131" t="s">
        <v>41</v>
      </c>
      <c r="S71" s="129"/>
      <c r="T71" s="146"/>
      <c r="U71" s="144"/>
      <c r="V71" s="147" t="s">
        <v>42</v>
      </c>
      <c r="W71" s="148">
        <f>ROUND(S71*T71*2,5)</f>
        <v>0</v>
      </c>
      <c r="X71" s="145">
        <f>ROUND(O71*W71,3)</f>
        <v>0</v>
      </c>
      <c r="Y71" s="145">
        <f>ROUND(P71*W71,3)</f>
        <v>0</v>
      </c>
      <c r="Z71" s="149">
        <f t="shared" si="9"/>
        <v>0</v>
      </c>
      <c r="AA71" s="149">
        <f t="shared" si="9"/>
        <v>0</v>
      </c>
      <c r="AB71" s="150">
        <f>X71-Y71</f>
        <v>0</v>
      </c>
    </row>
    <row r="72" spans="1:28" s="45" customFormat="1" ht="6" customHeight="1">
      <c r="A72" s="60"/>
      <c r="B72" s="61"/>
      <c r="C72" s="62"/>
      <c r="D72" s="35"/>
      <c r="E72" s="35"/>
      <c r="F72" s="36"/>
      <c r="G72" s="37"/>
      <c r="H72" s="66"/>
      <c r="I72" s="53"/>
      <c r="J72" s="64"/>
      <c r="K72" s="37"/>
      <c r="L72" s="59"/>
      <c r="M72" s="53"/>
      <c r="N72" s="53"/>
      <c r="O72" s="775"/>
      <c r="P72" s="775"/>
      <c r="Q72" s="36"/>
      <c r="R72" s="37"/>
      <c r="S72" s="66"/>
      <c r="T72" s="50"/>
      <c r="U72" s="64"/>
      <c r="V72" s="37"/>
      <c r="W72" s="55"/>
      <c r="X72" s="53"/>
      <c r="Y72" s="53"/>
      <c r="Z72" s="56"/>
      <c r="AA72" s="56"/>
      <c r="AB72" s="57"/>
    </row>
    <row r="73" spans="1:28" s="156" customFormat="1" ht="12.75" customHeight="1">
      <c r="A73" s="126">
        <v>2</v>
      </c>
      <c r="B73" s="846" t="s">
        <v>49</v>
      </c>
      <c r="C73" s="846"/>
      <c r="D73" s="129">
        <f>ROUND(M73/L73,5)</f>
        <v>202.70127</v>
      </c>
      <c r="E73" s="129">
        <f>ROUND(N73/L73,5)</f>
        <v>202.70127</v>
      </c>
      <c r="F73" s="153"/>
      <c r="G73" s="154"/>
      <c r="H73" s="129">
        <f>ROUND(L73/J73/2*1000,9)</f>
        <v>174.130099299</v>
      </c>
      <c r="I73" s="155">
        <f>I74+I76</f>
        <v>18.424</v>
      </c>
      <c r="J73" s="133">
        <f>J74+J76</f>
        <v>856</v>
      </c>
      <c r="K73" s="154"/>
      <c r="L73" s="134">
        <f>L75+L77</f>
        <v>298.11073</v>
      </c>
      <c r="M73" s="135">
        <f>M74+M76+M77</f>
        <v>60427.422999999995</v>
      </c>
      <c r="N73" s="135">
        <f>N74+N76+N77</f>
        <v>60427.422999999995</v>
      </c>
      <c r="O73" s="782" t="e">
        <f>ROUND(X73/W73,5)</f>
        <v>#DIV/0!</v>
      </c>
      <c r="P73" s="782" t="e">
        <f>ROUND(Y73/W73,5)</f>
        <v>#DIV/0!</v>
      </c>
      <c r="Q73" s="153"/>
      <c r="R73" s="154"/>
      <c r="S73" s="129" t="e">
        <f>ROUND(W73/U73/2*1000,9)</f>
        <v>#DIV/0!</v>
      </c>
      <c r="T73" s="155">
        <f>T74+T76</f>
        <v>0</v>
      </c>
      <c r="U73" s="133">
        <f>U74+U76</f>
        <v>0</v>
      </c>
      <c r="V73" s="154"/>
      <c r="W73" s="136">
        <f>W75+W77</f>
        <v>0</v>
      </c>
      <c r="X73" s="135">
        <f>X74+X76+X77</f>
        <v>0</v>
      </c>
      <c r="Y73" s="135">
        <f>Y74+Y76+Y77</f>
        <v>0</v>
      </c>
      <c r="Z73" s="137">
        <f>ROUND(X73/M73,4)</f>
        <v>0</v>
      </c>
      <c r="AA73" s="137">
        <f>ROUND(Y73/N73,4)</f>
        <v>0</v>
      </c>
      <c r="AB73" s="138">
        <f>AB74+AB76+AB77</f>
        <v>0</v>
      </c>
    </row>
    <row r="74" spans="1:28" s="139" customFormat="1" ht="70.5" customHeight="1">
      <c r="A74" s="140" t="s">
        <v>50</v>
      </c>
      <c r="B74" s="157" t="s">
        <v>51</v>
      </c>
      <c r="C74" s="158" t="s">
        <v>40</v>
      </c>
      <c r="D74" s="129"/>
      <c r="E74" s="129"/>
      <c r="F74" s="130"/>
      <c r="G74" s="131"/>
      <c r="H74" s="142" t="s">
        <v>45</v>
      </c>
      <c r="I74" s="143"/>
      <c r="J74" s="144"/>
      <c r="K74" s="147" t="s">
        <v>42</v>
      </c>
      <c r="L74" s="152"/>
      <c r="M74" s="145"/>
      <c r="N74" s="145"/>
      <c r="O74" s="782"/>
      <c r="P74" s="782"/>
      <c r="Q74" s="130"/>
      <c r="R74" s="131"/>
      <c r="S74" s="142" t="s">
        <v>45</v>
      </c>
      <c r="T74" s="146"/>
      <c r="U74" s="144"/>
      <c r="V74" s="147" t="s">
        <v>42</v>
      </c>
      <c r="W74" s="148"/>
      <c r="X74" s="145"/>
      <c r="Y74" s="145"/>
      <c r="Z74" s="149"/>
      <c r="AA74" s="149"/>
      <c r="AB74" s="150"/>
    </row>
    <row r="75" spans="1:28" s="139" customFormat="1" ht="73.5" customHeight="1">
      <c r="A75" s="140" t="s">
        <v>52</v>
      </c>
      <c r="B75" s="157" t="s">
        <v>53</v>
      </c>
      <c r="C75" s="159" t="s">
        <v>54</v>
      </c>
      <c r="D75" s="129"/>
      <c r="E75" s="129"/>
      <c r="F75" s="130"/>
      <c r="G75" s="131"/>
      <c r="H75" s="142" t="s">
        <v>45</v>
      </c>
      <c r="I75" s="143"/>
      <c r="J75" s="144"/>
      <c r="K75" s="159" t="s">
        <v>55</v>
      </c>
      <c r="L75" s="152"/>
      <c r="M75" s="145"/>
      <c r="N75" s="145"/>
      <c r="O75" s="782"/>
      <c r="P75" s="782"/>
      <c r="Q75" s="130"/>
      <c r="R75" s="131"/>
      <c r="S75" s="142" t="s">
        <v>45</v>
      </c>
      <c r="T75" s="146"/>
      <c r="U75" s="144"/>
      <c r="V75" s="147" t="s">
        <v>56</v>
      </c>
      <c r="W75" s="148"/>
      <c r="X75" s="145"/>
      <c r="Y75" s="145"/>
      <c r="Z75" s="149"/>
      <c r="AA75" s="149"/>
      <c r="AB75" s="150"/>
    </row>
    <row r="76" spans="1:28" s="139" customFormat="1" ht="69.75" customHeight="1">
      <c r="A76" s="151" t="s">
        <v>57</v>
      </c>
      <c r="B76" s="157" t="s">
        <v>58</v>
      </c>
      <c r="C76" s="128" t="s">
        <v>40</v>
      </c>
      <c r="D76" s="129">
        <f>'ГВС  плата  базов. (3-2)'!D81</f>
        <v>2411.049952</v>
      </c>
      <c r="E76" s="129">
        <f>'ГВС  плата  базов. (3-2)'!G81</f>
        <v>2411.049952</v>
      </c>
      <c r="F76" s="130">
        <f>ROUND(E76/D76%,1)</f>
        <v>100</v>
      </c>
      <c r="G76" s="131" t="s">
        <v>59</v>
      </c>
      <c r="H76" s="129">
        <f>'норм. ГВС  (3-1)'!F86</f>
        <v>11.99756039</v>
      </c>
      <c r="I76" s="143">
        <v>18.424</v>
      </c>
      <c r="J76" s="144">
        <v>856</v>
      </c>
      <c r="K76" s="128" t="s">
        <v>42</v>
      </c>
      <c r="L76" s="152">
        <f>ROUND(H76*J76*2/1000,5)</f>
        <v>20.53982</v>
      </c>
      <c r="M76" s="145">
        <f>ROUND(D76*L76,3)</f>
        <v>49522.532</v>
      </c>
      <c r="N76" s="145">
        <f>ROUND(E76*L76,3)</f>
        <v>49522.532</v>
      </c>
      <c r="O76" s="782">
        <v>1678.65</v>
      </c>
      <c r="P76" s="782">
        <v>1678.65</v>
      </c>
      <c r="Q76" s="130">
        <f>ROUND(P76/O76%,1)</f>
        <v>100</v>
      </c>
      <c r="R76" s="131" t="s">
        <v>59</v>
      </c>
      <c r="S76" s="129"/>
      <c r="T76" s="146"/>
      <c r="U76" s="144"/>
      <c r="V76" s="147" t="s">
        <v>42</v>
      </c>
      <c r="W76" s="160">
        <f>ROUND(S76*U76*2/1000,5)</f>
        <v>0</v>
      </c>
      <c r="X76" s="145">
        <f>ROUND(O76*W76,3)</f>
        <v>0</v>
      </c>
      <c r="Y76" s="145">
        <f>ROUND(P76*W76,3)</f>
        <v>0</v>
      </c>
      <c r="Z76" s="149">
        <f>ROUND(X76/M76,4)</f>
        <v>0</v>
      </c>
      <c r="AA76" s="149">
        <f>ROUND(Y76/N76,4)</f>
        <v>0</v>
      </c>
      <c r="AB76" s="150">
        <f>X76-Y76</f>
        <v>0</v>
      </c>
    </row>
    <row r="77" spans="1:28" s="139" customFormat="1" ht="78.75" customHeight="1">
      <c r="A77" s="151" t="s">
        <v>60</v>
      </c>
      <c r="B77" s="157" t="s">
        <v>61</v>
      </c>
      <c r="C77" s="158" t="s">
        <v>91</v>
      </c>
      <c r="D77" s="129">
        <v>36.58</v>
      </c>
      <c r="E77" s="129">
        <v>36.58</v>
      </c>
      <c r="F77" s="130">
        <f>ROUND(E77/D77%,1)</f>
        <v>100</v>
      </c>
      <c r="G77" s="131" t="s">
        <v>63</v>
      </c>
      <c r="H77" s="129">
        <f>'норм. ГВС  (3-1)'!G86</f>
        <v>174.13009662</v>
      </c>
      <c r="I77" s="143">
        <v>18.424</v>
      </c>
      <c r="J77" s="144">
        <v>856</v>
      </c>
      <c r="K77" s="147" t="s">
        <v>90</v>
      </c>
      <c r="L77" s="152">
        <f>ROUND(H77*J77*2/1000,5)</f>
        <v>298.11073</v>
      </c>
      <c r="M77" s="145">
        <f>ROUND(D77*L77,3)</f>
        <v>10904.891</v>
      </c>
      <c r="N77" s="145">
        <f>ROUND(E77*L77,3)</f>
        <v>10904.891</v>
      </c>
      <c r="O77" s="782">
        <v>38</v>
      </c>
      <c r="P77" s="782">
        <v>38</v>
      </c>
      <c r="Q77" s="130">
        <f>ROUND(P77/O77%,1)</f>
        <v>100</v>
      </c>
      <c r="R77" s="131" t="s">
        <v>63</v>
      </c>
      <c r="S77" s="129"/>
      <c r="T77" s="146"/>
      <c r="U77" s="144"/>
      <c r="V77" s="147" t="s">
        <v>92</v>
      </c>
      <c r="W77" s="160">
        <f>ROUND(S77*U77*2/1000,5)</f>
        <v>0</v>
      </c>
      <c r="X77" s="145">
        <f>ROUND(O77*W77,3)</f>
        <v>0</v>
      </c>
      <c r="Y77" s="145">
        <f>ROUND(P77*W77,3)</f>
        <v>0</v>
      </c>
      <c r="Z77" s="149">
        <f>ROUND(X77/M77,4)</f>
        <v>0</v>
      </c>
      <c r="AA77" s="149">
        <f>ROUND(Y77/N77,4)</f>
        <v>0</v>
      </c>
      <c r="AB77" s="150">
        <f>X77-Y77</f>
        <v>0</v>
      </c>
    </row>
    <row r="78" spans="1:28" s="139" customFormat="1" ht="6" customHeight="1">
      <c r="A78" s="161"/>
      <c r="B78" s="162"/>
      <c r="C78" s="163"/>
      <c r="D78" s="129"/>
      <c r="E78" s="129"/>
      <c r="F78" s="130"/>
      <c r="G78" s="131"/>
      <c r="H78" s="129"/>
      <c r="I78" s="143"/>
      <c r="J78" s="144"/>
      <c r="K78" s="159"/>
      <c r="L78" s="129"/>
      <c r="M78" s="146"/>
      <c r="N78" s="146"/>
      <c r="O78" s="782"/>
      <c r="P78" s="782"/>
      <c r="Q78" s="130"/>
      <c r="R78" s="131"/>
      <c r="S78" s="129"/>
      <c r="T78" s="144"/>
      <c r="U78" s="144"/>
      <c r="V78" s="147"/>
      <c r="W78" s="148"/>
      <c r="X78" s="146"/>
      <c r="Y78" s="146"/>
      <c r="Z78" s="149"/>
      <c r="AA78" s="149"/>
      <c r="AB78" s="150"/>
    </row>
    <row r="79" spans="1:28" s="139" customFormat="1" ht="12.75" customHeight="1">
      <c r="A79" s="126">
        <v>3</v>
      </c>
      <c r="B79" s="847" t="s">
        <v>65</v>
      </c>
      <c r="C79" s="847"/>
      <c r="D79" s="129">
        <f>ROUND(M79/L79,5)</f>
        <v>36.58</v>
      </c>
      <c r="E79" s="129">
        <f>ROUND(N79/L79,5)</f>
        <v>36.58</v>
      </c>
      <c r="F79" s="130"/>
      <c r="G79" s="131"/>
      <c r="H79" s="129">
        <f>ROUND(L79/J79/2*1000,9)</f>
        <v>164.943189252</v>
      </c>
      <c r="I79" s="155">
        <f>I80+I81</f>
        <v>18.448</v>
      </c>
      <c r="J79" s="133">
        <f>J80+J81</f>
        <v>856</v>
      </c>
      <c r="K79" s="133"/>
      <c r="L79" s="134">
        <f>L80+L81</f>
        <v>282.38274</v>
      </c>
      <c r="M79" s="135">
        <f>M80+M81</f>
        <v>10329.561</v>
      </c>
      <c r="N79" s="135">
        <f>N80+N81</f>
        <v>10329.561</v>
      </c>
      <c r="O79" s="782">
        <f>ROUND(X79/W79,5)</f>
        <v>38</v>
      </c>
      <c r="P79" s="782">
        <f>ROUND(Y79/W79,5)</f>
        <v>38</v>
      </c>
      <c r="Q79" s="130"/>
      <c r="R79" s="131"/>
      <c r="S79" s="129">
        <f>ROUND(W79/U79/2*1000,9)</f>
        <v>164.943189252</v>
      </c>
      <c r="T79" s="155">
        <f>T80+T81</f>
        <v>18.424</v>
      </c>
      <c r="U79" s="133">
        <f>U80+U81</f>
        <v>856</v>
      </c>
      <c r="V79" s="147"/>
      <c r="W79" s="136">
        <f>W80+W81</f>
        <v>282.38274</v>
      </c>
      <c r="X79" s="135">
        <f>X80+X81</f>
        <v>10730.544</v>
      </c>
      <c r="Y79" s="135">
        <f>Y80+Y81</f>
        <v>10730.544</v>
      </c>
      <c r="Z79" s="137">
        <f aca="true" t="shared" si="10" ref="Z79:AA81">ROUND(X79/M79,4)</f>
        <v>1.0388</v>
      </c>
      <c r="AA79" s="137">
        <f t="shared" si="10"/>
        <v>1.0388</v>
      </c>
      <c r="AB79" s="138">
        <f>AB80+AB81</f>
        <v>0</v>
      </c>
    </row>
    <row r="80" spans="1:28" s="139" customFormat="1" ht="42.75" customHeight="1">
      <c r="A80" s="140" t="s">
        <v>66</v>
      </c>
      <c r="B80" s="164" t="s">
        <v>67</v>
      </c>
      <c r="C80" s="158" t="s">
        <v>93</v>
      </c>
      <c r="D80" s="129">
        <v>36.58</v>
      </c>
      <c r="E80" s="129">
        <v>36.58</v>
      </c>
      <c r="F80" s="130">
        <f>ROUND(E80/D80%,1)</f>
        <v>100</v>
      </c>
      <c r="G80" s="131"/>
      <c r="H80" s="142" t="s">
        <v>45</v>
      </c>
      <c r="I80" s="143">
        <v>8.124</v>
      </c>
      <c r="J80" s="165">
        <v>375</v>
      </c>
      <c r="K80" s="147" t="s">
        <v>90</v>
      </c>
      <c r="L80" s="152"/>
      <c r="M80" s="166">
        <f>ROUND(D80*L80,3)</f>
        <v>0</v>
      </c>
      <c r="N80" s="166">
        <f>ROUND(E80*L80,3)</f>
        <v>0</v>
      </c>
      <c r="O80" s="782">
        <v>38</v>
      </c>
      <c r="P80" s="782">
        <v>38</v>
      </c>
      <c r="Q80" s="130">
        <f>ROUND(P80/O80%,1)</f>
        <v>100</v>
      </c>
      <c r="R80" s="131"/>
      <c r="S80" s="142" t="s">
        <v>45</v>
      </c>
      <c r="T80" s="146">
        <v>8.1</v>
      </c>
      <c r="U80" s="165">
        <v>375</v>
      </c>
      <c r="V80" s="147" t="s">
        <v>90</v>
      </c>
      <c r="W80" s="148">
        <f>L80</f>
        <v>0</v>
      </c>
      <c r="X80" s="166">
        <f>ROUND(O80*W80,3)</f>
        <v>0</v>
      </c>
      <c r="Y80" s="166">
        <f>ROUND(P80*W80,3)</f>
        <v>0</v>
      </c>
      <c r="Z80" s="149" t="e">
        <f t="shared" si="10"/>
        <v>#DIV/0!</v>
      </c>
      <c r="AA80" s="149" t="e">
        <f t="shared" si="10"/>
        <v>#DIV/0!</v>
      </c>
      <c r="AB80" s="150">
        <f>X80-Y80</f>
        <v>0</v>
      </c>
    </row>
    <row r="81" spans="1:28" s="139" customFormat="1" ht="45.75" customHeight="1">
      <c r="A81" s="140" t="s">
        <v>69</v>
      </c>
      <c r="B81" s="164" t="s">
        <v>48</v>
      </c>
      <c r="C81" s="158" t="s">
        <v>93</v>
      </c>
      <c r="D81" s="129">
        <v>36.58</v>
      </c>
      <c r="E81" s="129">
        <v>36.58</v>
      </c>
      <c r="F81" s="130">
        <f>ROUND(E81/D81%,1)</f>
        <v>100</v>
      </c>
      <c r="G81" s="131" t="s">
        <v>63</v>
      </c>
      <c r="H81" s="129">
        <f>'норм. ХВС для ЦО (4-1) '!F85</f>
        <v>293.53715</v>
      </c>
      <c r="I81" s="143">
        <v>10.324</v>
      </c>
      <c r="J81" s="144">
        <v>481</v>
      </c>
      <c r="K81" s="147" t="s">
        <v>90</v>
      </c>
      <c r="L81" s="152">
        <f>ROUND(H81*J81*2/1000,5)</f>
        <v>282.38274</v>
      </c>
      <c r="M81" s="166">
        <f>ROUND(D81*L81,3)</f>
        <v>10329.561</v>
      </c>
      <c r="N81" s="166">
        <f>ROUND(E81*L81,3)</f>
        <v>10329.561</v>
      </c>
      <c r="O81" s="782">
        <v>38</v>
      </c>
      <c r="P81" s="782">
        <v>38</v>
      </c>
      <c r="Q81" s="130">
        <f>ROUND(P81/O81%,1)</f>
        <v>100</v>
      </c>
      <c r="R81" s="131" t="s">
        <v>63</v>
      </c>
      <c r="S81" s="129">
        <f>'норм. ХВС для ЦО (4-1) '!K85</f>
        <v>293.53715</v>
      </c>
      <c r="T81" s="146">
        <v>10.324</v>
      </c>
      <c r="U81" s="146">
        <v>481</v>
      </c>
      <c r="V81" s="147" t="s">
        <v>90</v>
      </c>
      <c r="W81" s="160">
        <f>ROUND(S81*U81*2/1000,5)</f>
        <v>282.38274</v>
      </c>
      <c r="X81" s="166">
        <f>ROUND(O81*W81,3)</f>
        <v>10730.544</v>
      </c>
      <c r="Y81" s="166">
        <f>ROUND(P81*W81,3)</f>
        <v>10730.544</v>
      </c>
      <c r="Z81" s="149">
        <f t="shared" si="10"/>
        <v>1.0388</v>
      </c>
      <c r="AA81" s="149">
        <f t="shared" si="10"/>
        <v>1.0388</v>
      </c>
      <c r="AB81" s="150">
        <f>X81-Y81</f>
        <v>0</v>
      </c>
    </row>
    <row r="82" spans="1:28" s="139" customFormat="1" ht="6" customHeight="1">
      <c r="A82" s="167"/>
      <c r="B82" s="168"/>
      <c r="C82" s="158"/>
      <c r="D82" s="129"/>
      <c r="E82" s="129"/>
      <c r="F82" s="130"/>
      <c r="G82" s="131"/>
      <c r="H82" s="129"/>
      <c r="I82" s="143"/>
      <c r="J82" s="144"/>
      <c r="K82" s="147"/>
      <c r="L82" s="129"/>
      <c r="M82" s="146"/>
      <c r="N82" s="146"/>
      <c r="O82" s="782"/>
      <c r="P82" s="782"/>
      <c r="Q82" s="130"/>
      <c r="R82" s="131"/>
      <c r="S82" s="129"/>
      <c r="T82" s="144"/>
      <c r="U82" s="144"/>
      <c r="V82" s="147"/>
      <c r="W82" s="148"/>
      <c r="X82" s="146"/>
      <c r="Y82" s="146"/>
      <c r="Z82" s="149"/>
      <c r="AA82" s="149"/>
      <c r="AB82" s="150"/>
    </row>
    <row r="83" spans="1:28" s="139" customFormat="1" ht="12.75" customHeight="1">
      <c r="A83" s="126">
        <v>4</v>
      </c>
      <c r="B83" s="848" t="s">
        <v>70</v>
      </c>
      <c r="C83" s="848"/>
      <c r="D83" s="129">
        <f>ROUND(M83/L83,5)</f>
        <v>69.54991</v>
      </c>
      <c r="E83" s="129">
        <f>ROUND(N83/L83,5)</f>
        <v>69.54991</v>
      </c>
      <c r="F83" s="130"/>
      <c r="G83" s="131"/>
      <c r="H83" s="129">
        <f>ROUND(L83/J83/2*1000,9)</f>
        <v>4.238</v>
      </c>
      <c r="I83" s="155">
        <f>I84+I85</f>
        <v>8.8</v>
      </c>
      <c r="J83" s="133">
        <f>J84+J85</f>
        <v>400</v>
      </c>
      <c r="K83" s="133"/>
      <c r="L83" s="134">
        <f>L84+L85</f>
        <v>3.3904</v>
      </c>
      <c r="M83" s="135">
        <f>M84+M85</f>
        <v>235.802</v>
      </c>
      <c r="N83" s="135">
        <f>N84+N85</f>
        <v>235.802</v>
      </c>
      <c r="O83" s="782">
        <f>ROUND(X83/W83,5)</f>
        <v>72.13999</v>
      </c>
      <c r="P83" s="782">
        <f>ROUND(Y83/W83,5)</f>
        <v>72.13999</v>
      </c>
      <c r="Q83" s="130"/>
      <c r="R83" s="131"/>
      <c r="S83" s="129">
        <f>ROUND(W83/U83/2*1000,9)</f>
        <v>6.4755</v>
      </c>
      <c r="T83" s="155">
        <f>T84+T85</f>
        <v>8.8</v>
      </c>
      <c r="U83" s="133">
        <f>U84+U85</f>
        <v>400</v>
      </c>
      <c r="V83" s="147"/>
      <c r="W83" s="136">
        <f>W84+W85</f>
        <v>5.1804</v>
      </c>
      <c r="X83" s="135">
        <f>X84+X85</f>
        <v>373.714</v>
      </c>
      <c r="Y83" s="135">
        <f>Y84+Y85</f>
        <v>373.714</v>
      </c>
      <c r="Z83" s="137">
        <f aca="true" t="shared" si="11" ref="Z83:AA85">ROUND(X83/M83,4)</f>
        <v>1.5849</v>
      </c>
      <c r="AA83" s="137">
        <f t="shared" si="11"/>
        <v>1.5849</v>
      </c>
      <c r="AB83" s="138">
        <f>AB84+AB85</f>
        <v>0</v>
      </c>
    </row>
    <row r="84" spans="1:28" s="139" customFormat="1" ht="56.25" customHeight="1">
      <c r="A84" s="140" t="s">
        <v>71</v>
      </c>
      <c r="B84" s="164" t="s">
        <v>94</v>
      </c>
      <c r="C84" s="158" t="s">
        <v>93</v>
      </c>
      <c r="D84" s="129"/>
      <c r="E84" s="129"/>
      <c r="F84" s="130" t="e">
        <f>ROUND(E84/D84%,1)</f>
        <v>#DIV/0!</v>
      </c>
      <c r="G84" s="131"/>
      <c r="H84" s="142" t="s">
        <v>45</v>
      </c>
      <c r="I84" s="146"/>
      <c r="J84" s="165"/>
      <c r="K84" s="147" t="s">
        <v>90</v>
      </c>
      <c r="L84" s="152"/>
      <c r="M84" s="166">
        <f>ROUND(D84*L84,3)</f>
        <v>0</v>
      </c>
      <c r="N84" s="166">
        <f>ROUND(E84*L84,3)</f>
        <v>0</v>
      </c>
      <c r="O84" s="782"/>
      <c r="P84" s="782"/>
      <c r="Q84" s="130" t="e">
        <f>ROUND(P84/O84%,1)</f>
        <v>#DIV/0!</v>
      </c>
      <c r="R84" s="131"/>
      <c r="S84" s="142" t="s">
        <v>45</v>
      </c>
      <c r="T84" s="143"/>
      <c r="U84" s="165"/>
      <c r="V84" s="147" t="s">
        <v>90</v>
      </c>
      <c r="W84" s="148">
        <f>L84</f>
        <v>0</v>
      </c>
      <c r="X84" s="166">
        <f>ROUND(O84*W84,3)</f>
        <v>0</v>
      </c>
      <c r="Y84" s="166">
        <f>ROUND(P84*W84,3)</f>
        <v>0</v>
      </c>
      <c r="Z84" s="149" t="e">
        <f t="shared" si="11"/>
        <v>#DIV/0!</v>
      </c>
      <c r="AA84" s="149" t="e">
        <f t="shared" si="11"/>
        <v>#DIV/0!</v>
      </c>
      <c r="AB84" s="169">
        <f>X84-Y84</f>
        <v>0</v>
      </c>
    </row>
    <row r="85" spans="1:28" s="139" customFormat="1" ht="63" customHeight="1">
      <c r="A85" s="140" t="s">
        <v>73</v>
      </c>
      <c r="B85" s="164" t="s">
        <v>74</v>
      </c>
      <c r="C85" s="158" t="s">
        <v>93</v>
      </c>
      <c r="D85" s="129">
        <v>69.55</v>
      </c>
      <c r="E85" s="129">
        <f>D85</f>
        <v>69.55</v>
      </c>
      <c r="F85" s="130">
        <f>ROUND(E85/D85%,1)</f>
        <v>100</v>
      </c>
      <c r="G85" s="131" t="s">
        <v>63</v>
      </c>
      <c r="H85" s="129">
        <f>'норм водоотв  ЦО (5-1)'!E84</f>
        <v>4.238</v>
      </c>
      <c r="I85" s="146">
        <f>'норм водоотв  ЦО (5-1)'!G84</f>
        <v>8.8</v>
      </c>
      <c r="J85" s="144">
        <f>'норм водоотв  ЦО (5-1)'!H84</f>
        <v>400</v>
      </c>
      <c r="K85" s="147" t="s">
        <v>90</v>
      </c>
      <c r="L85" s="152">
        <f>ROUND(H85*J85*2/1000,5)</f>
        <v>3.3904</v>
      </c>
      <c r="M85" s="166">
        <f>ROUND(D85*L85,3)</f>
        <v>235.802</v>
      </c>
      <c r="N85" s="166">
        <f>ROUND(E85*L85,3)</f>
        <v>235.802</v>
      </c>
      <c r="O85" s="782">
        <v>72.14</v>
      </c>
      <c r="P85" s="782">
        <f>O85</f>
        <v>72.14</v>
      </c>
      <c r="Q85" s="130">
        <f>ROUND(P85/O85%,1)</f>
        <v>100</v>
      </c>
      <c r="R85" s="131" t="s">
        <v>63</v>
      </c>
      <c r="S85" s="129">
        <f>'норм водоотв  ЦО (5-1)'!J84</f>
        <v>6.4755</v>
      </c>
      <c r="T85" s="143">
        <f>'норм водоотв  ЦО (5-1)'!L84</f>
        <v>8.8</v>
      </c>
      <c r="U85" s="144">
        <f>'норм водоотв  ЦО (5-1)'!M84</f>
        <v>400</v>
      </c>
      <c r="V85" s="147" t="s">
        <v>90</v>
      </c>
      <c r="W85" s="160">
        <f>ROUND(S85*U85*2/1000,5)</f>
        <v>5.1804</v>
      </c>
      <c r="X85" s="166">
        <f>ROUND(O85*W85,3)</f>
        <v>373.714</v>
      </c>
      <c r="Y85" s="166">
        <f>ROUND(P85*W85,3)</f>
        <v>373.714</v>
      </c>
      <c r="Z85" s="149">
        <f t="shared" si="11"/>
        <v>1.5849</v>
      </c>
      <c r="AA85" s="149">
        <f t="shared" si="11"/>
        <v>1.5849</v>
      </c>
      <c r="AB85" s="169">
        <f>X85-Y85</f>
        <v>0</v>
      </c>
    </row>
    <row r="86" spans="1:28" s="139" customFormat="1" ht="6.75" customHeight="1">
      <c r="A86" s="167"/>
      <c r="B86" s="168"/>
      <c r="C86" s="158"/>
      <c r="D86" s="129"/>
      <c r="E86" s="129"/>
      <c r="F86" s="130"/>
      <c r="G86" s="131"/>
      <c r="H86" s="129"/>
      <c r="I86" s="146"/>
      <c r="J86" s="144"/>
      <c r="K86" s="147"/>
      <c r="L86" s="129"/>
      <c r="M86" s="146"/>
      <c r="N86" s="146"/>
      <c r="O86" s="782"/>
      <c r="P86" s="782"/>
      <c r="Q86" s="130"/>
      <c r="R86" s="131"/>
      <c r="S86" s="129"/>
      <c r="T86" s="143"/>
      <c r="U86" s="144"/>
      <c r="V86" s="147"/>
      <c r="W86" s="148"/>
      <c r="X86" s="146"/>
      <c r="Y86" s="146"/>
      <c r="Z86" s="149"/>
      <c r="AA86" s="170"/>
      <c r="AB86" s="150"/>
    </row>
    <row r="87" spans="1:28" s="139" customFormat="1" ht="6" customHeight="1">
      <c r="A87" s="126"/>
      <c r="B87" s="127"/>
      <c r="C87" s="147"/>
      <c r="D87" s="129"/>
      <c r="E87" s="129"/>
      <c r="F87" s="130"/>
      <c r="G87" s="131"/>
      <c r="H87" s="129"/>
      <c r="I87" s="144"/>
      <c r="J87" s="165"/>
      <c r="K87" s="147"/>
      <c r="L87" s="152"/>
      <c r="M87" s="146"/>
      <c r="N87" s="146"/>
      <c r="O87" s="782"/>
      <c r="P87" s="782"/>
      <c r="Q87" s="130"/>
      <c r="R87" s="131"/>
      <c r="S87" s="129"/>
      <c r="T87" s="143"/>
      <c r="U87" s="165"/>
      <c r="V87" s="147"/>
      <c r="W87" s="148"/>
      <c r="X87" s="146"/>
      <c r="Y87" s="146"/>
      <c r="Z87" s="149"/>
      <c r="AA87" s="170"/>
      <c r="AB87" s="150"/>
    </row>
    <row r="88" spans="1:28" s="139" customFormat="1" ht="12.75">
      <c r="A88" s="126">
        <v>5</v>
      </c>
      <c r="B88" s="127" t="s">
        <v>75</v>
      </c>
      <c r="C88" s="147"/>
      <c r="D88" s="129">
        <f>ROUND(M88/L88,5)</f>
        <v>1.84426</v>
      </c>
      <c r="E88" s="129">
        <f>ROUND(N88/L88,5)</f>
        <v>1.84426</v>
      </c>
      <c r="F88" s="130"/>
      <c r="G88" s="131"/>
      <c r="H88" s="129">
        <f>ROUND(L88/J88/2*1000,9)</f>
        <v>92.11682243</v>
      </c>
      <c r="I88" s="155">
        <f>I89+I90</f>
        <v>18.424</v>
      </c>
      <c r="J88" s="155">
        <f>J89+J90</f>
        <v>856</v>
      </c>
      <c r="K88" s="133"/>
      <c r="L88" s="134">
        <f>L89+L90</f>
        <v>157.704</v>
      </c>
      <c r="M88" s="135">
        <f>M89+M90</f>
        <v>290.847</v>
      </c>
      <c r="N88" s="135">
        <f>N89+N90</f>
        <v>290.847</v>
      </c>
      <c r="O88" s="782">
        <f>ROUND(X88/W88,5)</f>
        <v>1.93147</v>
      </c>
      <c r="P88" s="782">
        <f>ROUND(Y88/W88,5)</f>
        <v>1.93147</v>
      </c>
      <c r="Q88" s="130"/>
      <c r="R88" s="131"/>
      <c r="S88" s="129">
        <f>ROUND(W88/U88/2*1000,9)</f>
        <v>92.11682243</v>
      </c>
      <c r="T88" s="155">
        <f>T89+T90</f>
        <v>18.424</v>
      </c>
      <c r="U88" s="133">
        <f>U89+U90</f>
        <v>856</v>
      </c>
      <c r="V88" s="133"/>
      <c r="W88" s="136">
        <f>W89+W90</f>
        <v>157.704</v>
      </c>
      <c r="X88" s="135">
        <f>X89+X90</f>
        <v>304.6</v>
      </c>
      <c r="Y88" s="135">
        <f>Y89+Y90</f>
        <v>304.6</v>
      </c>
      <c r="Z88" s="137">
        <f aca="true" t="shared" si="12" ref="Z88:AA90">ROUND(X88/M88,4)</f>
        <v>1.0473</v>
      </c>
      <c r="AA88" s="137">
        <f t="shared" si="12"/>
        <v>1.0473</v>
      </c>
      <c r="AB88" s="138">
        <f>AB89+AB90</f>
        <v>0</v>
      </c>
    </row>
    <row r="89" spans="1:28" s="139" customFormat="1" ht="76.5">
      <c r="A89" s="171" t="s">
        <v>76</v>
      </c>
      <c r="B89" s="172" t="s">
        <v>77</v>
      </c>
      <c r="C89" s="147" t="s">
        <v>78</v>
      </c>
      <c r="D89" s="129"/>
      <c r="E89" s="129"/>
      <c r="F89" s="130" t="e">
        <f>ROUND(E89/D89%,1)</f>
        <v>#DIV/0!</v>
      </c>
      <c r="G89" s="131" t="s">
        <v>79</v>
      </c>
      <c r="H89" s="129"/>
      <c r="I89" s="146"/>
      <c r="J89" s="165"/>
      <c r="K89" s="147" t="s">
        <v>80</v>
      </c>
      <c r="L89" s="129">
        <f>ROUND(H89*J89*2/1000,5)</f>
        <v>0</v>
      </c>
      <c r="M89" s="145">
        <f>ROUND(D89*L89,3)</f>
        <v>0</v>
      </c>
      <c r="N89" s="145">
        <f>ROUND(E89*L89,3)</f>
        <v>0</v>
      </c>
      <c r="O89" s="782"/>
      <c r="P89" s="782"/>
      <c r="Q89" s="130" t="e">
        <f>ROUND(P89/O89%,1)</f>
        <v>#DIV/0!</v>
      </c>
      <c r="R89" s="131" t="s">
        <v>79</v>
      </c>
      <c r="S89" s="129"/>
      <c r="T89" s="143"/>
      <c r="U89" s="165"/>
      <c r="V89" s="147" t="s">
        <v>80</v>
      </c>
      <c r="W89" s="160">
        <f>ROUND(S89*U89*2/1000,5)</f>
        <v>0</v>
      </c>
      <c r="X89" s="145">
        <f>ROUND(O89*W89,3)</f>
        <v>0</v>
      </c>
      <c r="Y89" s="145">
        <f>ROUND(P89*W89,3)</f>
        <v>0</v>
      </c>
      <c r="Z89" s="149" t="e">
        <f t="shared" si="12"/>
        <v>#DIV/0!</v>
      </c>
      <c r="AA89" s="149" t="e">
        <f t="shared" si="12"/>
        <v>#DIV/0!</v>
      </c>
      <c r="AB89" s="169">
        <f>X89-Y89</f>
        <v>0</v>
      </c>
    </row>
    <row r="90" spans="1:28" s="139" customFormat="1" ht="25.5" customHeight="1">
      <c r="A90" s="171" t="s">
        <v>81</v>
      </c>
      <c r="B90" s="172" t="s">
        <v>82</v>
      </c>
      <c r="C90" s="147" t="s">
        <v>78</v>
      </c>
      <c r="D90" s="129">
        <f>'7-2'!C68</f>
        <v>1.844256</v>
      </c>
      <c r="E90" s="129">
        <f>D90</f>
        <v>1.844256</v>
      </c>
      <c r="F90" s="130">
        <f>ROUND(E90/D90%,1)</f>
        <v>100</v>
      </c>
      <c r="G90" s="131" t="s">
        <v>79</v>
      </c>
      <c r="H90" s="129">
        <f>'Эл.7-1 2 пол.'!C71</f>
        <v>92.11682243</v>
      </c>
      <c r="I90" s="146">
        <v>18.424</v>
      </c>
      <c r="J90" s="165">
        <v>856</v>
      </c>
      <c r="K90" s="147" t="s">
        <v>80</v>
      </c>
      <c r="L90" s="129">
        <f>ROUND(H90*J90*2/1000,5)</f>
        <v>157.704</v>
      </c>
      <c r="M90" s="145">
        <f>ROUND(D90*L90,3)</f>
        <v>290.847</v>
      </c>
      <c r="N90" s="145">
        <f>ROUND(E90*L90,3)</f>
        <v>290.847</v>
      </c>
      <c r="O90" s="782">
        <f>'7-2'!C80</f>
        <v>1.931467</v>
      </c>
      <c r="P90" s="782">
        <f>O90</f>
        <v>1.931467</v>
      </c>
      <c r="Q90" s="130">
        <f>ROUND(P90/O90%,1)</f>
        <v>100</v>
      </c>
      <c r="R90" s="131" t="s">
        <v>79</v>
      </c>
      <c r="S90" s="129">
        <f>H90</f>
        <v>92.11682243</v>
      </c>
      <c r="T90" s="143">
        <v>18.424</v>
      </c>
      <c r="U90" s="143">
        <v>856</v>
      </c>
      <c r="V90" s="147" t="s">
        <v>80</v>
      </c>
      <c r="W90" s="160">
        <f>ROUND(S90*U90*2/1000,5)</f>
        <v>157.704</v>
      </c>
      <c r="X90" s="145">
        <f>ROUND(O90*W90,3)</f>
        <v>304.6</v>
      </c>
      <c r="Y90" s="145">
        <f>ROUND(P90*W90,3)</f>
        <v>304.6</v>
      </c>
      <c r="Z90" s="149">
        <f t="shared" si="12"/>
        <v>1.0473</v>
      </c>
      <c r="AA90" s="149">
        <f t="shared" si="12"/>
        <v>1.0473</v>
      </c>
      <c r="AB90" s="169">
        <f>X90-Y90</f>
        <v>0</v>
      </c>
    </row>
    <row r="91" spans="1:28" s="139" customFormat="1" ht="6.75" customHeight="1">
      <c r="A91" s="171"/>
      <c r="B91" s="172"/>
      <c r="C91" s="147"/>
      <c r="D91" s="129"/>
      <c r="E91" s="129"/>
      <c r="F91" s="130"/>
      <c r="G91" s="131"/>
      <c r="H91" s="129"/>
      <c r="I91" s="144"/>
      <c r="J91" s="165"/>
      <c r="K91" s="147"/>
      <c r="L91" s="129"/>
      <c r="M91" s="146"/>
      <c r="N91" s="146"/>
      <c r="O91" s="782"/>
      <c r="P91" s="782"/>
      <c r="Q91" s="130"/>
      <c r="R91" s="131"/>
      <c r="S91" s="129"/>
      <c r="T91" s="143"/>
      <c r="U91" s="165"/>
      <c r="V91" s="147"/>
      <c r="W91" s="148"/>
      <c r="X91" s="146"/>
      <c r="Y91" s="146"/>
      <c r="Z91" s="149"/>
      <c r="AA91" s="170"/>
      <c r="AB91" s="150"/>
    </row>
    <row r="92" spans="1:28" s="178" customFormat="1" ht="24" customHeight="1">
      <c r="A92" s="126">
        <v>6</v>
      </c>
      <c r="B92" s="127" t="s">
        <v>83</v>
      </c>
      <c r="C92" s="173"/>
      <c r="D92" s="174">
        <v>44.12</v>
      </c>
      <c r="E92" s="174">
        <v>44.12</v>
      </c>
      <c r="F92" s="175">
        <f>ROUND(E92/D92%,1)</f>
        <v>100</v>
      </c>
      <c r="G92" s="176" t="s">
        <v>84</v>
      </c>
      <c r="H92" s="174">
        <v>3</v>
      </c>
      <c r="I92" s="155">
        <v>18.424</v>
      </c>
      <c r="J92" s="133">
        <v>856</v>
      </c>
      <c r="K92" s="173" t="s">
        <v>85</v>
      </c>
      <c r="L92" s="134">
        <f>ROUND(H92*J92*2/1000,5)</f>
        <v>5.136</v>
      </c>
      <c r="M92" s="135">
        <f>ROUND(D92*L92,3)</f>
        <v>226.6</v>
      </c>
      <c r="N92" s="135">
        <f>ROUND(E92*L92,3)</f>
        <v>226.6</v>
      </c>
      <c r="O92" s="783">
        <v>45.62</v>
      </c>
      <c r="P92" s="783">
        <v>45.62</v>
      </c>
      <c r="Q92" s="175">
        <f>ROUND(P92/O92%,1)</f>
        <v>100</v>
      </c>
      <c r="R92" s="176" t="s">
        <v>84</v>
      </c>
      <c r="S92" s="174">
        <f>H92</f>
        <v>3</v>
      </c>
      <c r="T92" s="155">
        <v>18.424</v>
      </c>
      <c r="U92" s="133">
        <v>856</v>
      </c>
      <c r="V92" s="173" t="s">
        <v>85</v>
      </c>
      <c r="W92" s="177">
        <f>ROUND(S92*U92*2/1000,5)</f>
        <v>5.136</v>
      </c>
      <c r="X92" s="135">
        <f>ROUND(O92*W92,3)</f>
        <v>234.304</v>
      </c>
      <c r="Y92" s="135">
        <f>ROUND(P92*W92,3)</f>
        <v>234.304</v>
      </c>
      <c r="Z92" s="137">
        <f>ROUND(X92/M92,4)</f>
        <v>1.034</v>
      </c>
      <c r="AA92" s="137">
        <f>ROUND(Y92/N92,4)</f>
        <v>1.034</v>
      </c>
      <c r="AB92" s="138">
        <f>X92-Y92</f>
        <v>0</v>
      </c>
    </row>
    <row r="93" spans="1:28" s="183" customFormat="1" ht="12.75">
      <c r="A93" s="179"/>
      <c r="B93" s="179" t="s">
        <v>86</v>
      </c>
      <c r="C93" s="180" t="s">
        <v>45</v>
      </c>
      <c r="D93" s="180" t="s">
        <v>45</v>
      </c>
      <c r="E93" s="180" t="s">
        <v>45</v>
      </c>
      <c r="F93" s="180" t="s">
        <v>45</v>
      </c>
      <c r="G93" s="180" t="s">
        <v>45</v>
      </c>
      <c r="H93" s="180" t="s">
        <v>45</v>
      </c>
      <c r="I93" s="180" t="s">
        <v>45</v>
      </c>
      <c r="J93" s="180" t="s">
        <v>45</v>
      </c>
      <c r="K93" s="180" t="s">
        <v>45</v>
      </c>
      <c r="L93" s="180" t="s">
        <v>45</v>
      </c>
      <c r="M93" s="181">
        <f>M69+M73+M79+M83+M88+M92</f>
        <v>72211.64699999998</v>
      </c>
      <c r="N93" s="181">
        <f>N69+N73+N79+N83+N88+N92</f>
        <v>72388.389</v>
      </c>
      <c r="O93" s="784" t="s">
        <v>45</v>
      </c>
      <c r="P93" s="784" t="s">
        <v>45</v>
      </c>
      <c r="Q93" s="180" t="s">
        <v>45</v>
      </c>
      <c r="R93" s="180" t="s">
        <v>45</v>
      </c>
      <c r="S93" s="180" t="s">
        <v>45</v>
      </c>
      <c r="T93" s="180" t="s">
        <v>45</v>
      </c>
      <c r="U93" s="180" t="s">
        <v>45</v>
      </c>
      <c r="V93" s="180" t="s">
        <v>45</v>
      </c>
      <c r="W93" s="182" t="s">
        <v>45</v>
      </c>
      <c r="X93" s="181">
        <f>X69+X73+X79+X83+X88+X92</f>
        <v>11643.162</v>
      </c>
      <c r="Y93" s="181">
        <f>Y69+Y73+Y79+Y83+Y88+Y92</f>
        <v>11643.162</v>
      </c>
      <c r="Z93" s="137">
        <f>ROUND(X93/M93,4)</f>
        <v>0.1612</v>
      </c>
      <c r="AA93" s="137">
        <f>ROUND(Y93/N93,4)</f>
        <v>0.1608</v>
      </c>
      <c r="AB93" s="138">
        <f>ROUND(X93-Y93,3)</f>
        <v>0</v>
      </c>
    </row>
    <row r="94" spans="1:28" s="189" customFormat="1" ht="38.25" customHeight="1">
      <c r="A94" s="184"/>
      <c r="B94" s="849" t="s">
        <v>87</v>
      </c>
      <c r="C94" s="849"/>
      <c r="D94" s="180" t="s">
        <v>45</v>
      </c>
      <c r="E94" s="180" t="s">
        <v>45</v>
      </c>
      <c r="F94" s="180" t="s">
        <v>45</v>
      </c>
      <c r="G94" s="180" t="s">
        <v>45</v>
      </c>
      <c r="H94" s="180" t="s">
        <v>45</v>
      </c>
      <c r="I94" s="180" t="s">
        <v>45</v>
      </c>
      <c r="J94" s="180" t="s">
        <v>45</v>
      </c>
      <c r="K94" s="180" t="s">
        <v>45</v>
      </c>
      <c r="L94" s="180" t="s">
        <v>45</v>
      </c>
      <c r="M94" s="180" t="s">
        <v>45</v>
      </c>
      <c r="N94" s="180" t="s">
        <v>45</v>
      </c>
      <c r="O94" s="784" t="s">
        <v>45</v>
      </c>
      <c r="P94" s="784" t="s">
        <v>45</v>
      </c>
      <c r="Q94" s="180" t="s">
        <v>45</v>
      </c>
      <c r="R94" s="180" t="s">
        <v>45</v>
      </c>
      <c r="S94" s="180" t="s">
        <v>45</v>
      </c>
      <c r="T94" s="180" t="s">
        <v>45</v>
      </c>
      <c r="U94" s="180" t="s">
        <v>45</v>
      </c>
      <c r="V94" s="180" t="s">
        <v>45</v>
      </c>
      <c r="W94" s="182" t="s">
        <v>45</v>
      </c>
      <c r="X94" s="180" t="s">
        <v>45</v>
      </c>
      <c r="Y94" s="185">
        <f>ROUND(N93*1.039,3)</f>
        <v>75211.536</v>
      </c>
      <c r="Z94" s="186" t="s">
        <v>45</v>
      </c>
      <c r="AA94" s="187">
        <f>ROUND(Y94/N93,4)</f>
        <v>1.039</v>
      </c>
      <c r="AB94" s="188">
        <f>ROUND(X93-Y94,3)</f>
        <v>-63568.374</v>
      </c>
    </row>
    <row r="95" spans="1:28" s="125" customFormat="1" ht="31.5" customHeight="1">
      <c r="A95" s="119"/>
      <c r="B95" s="850" t="s">
        <v>95</v>
      </c>
      <c r="C95" s="850"/>
      <c r="D95" s="85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780"/>
      <c r="P95" s="781"/>
      <c r="Q95" s="121"/>
      <c r="R95" s="120"/>
      <c r="S95" s="120"/>
      <c r="T95" s="120"/>
      <c r="U95" s="120"/>
      <c r="V95" s="120"/>
      <c r="W95" s="122"/>
      <c r="X95" s="120"/>
      <c r="Y95" s="120"/>
      <c r="Z95" s="123"/>
      <c r="AA95" s="123"/>
      <c r="AB95" s="124"/>
    </row>
    <row r="96" spans="1:28" s="139" customFormat="1" ht="29.25" customHeight="1">
      <c r="A96" s="126">
        <v>1</v>
      </c>
      <c r="B96" s="127" t="s">
        <v>39</v>
      </c>
      <c r="C96" s="128" t="s">
        <v>40</v>
      </c>
      <c r="D96" s="129">
        <f>ROUND(M96/L96,5)</f>
        <v>1615.63994</v>
      </c>
      <c r="E96" s="129">
        <f>ROUND(N96/L96,5)</f>
        <v>2022.74816</v>
      </c>
      <c r="F96" s="130">
        <f>ROUND(E96/D96%,1)</f>
        <v>125.2</v>
      </c>
      <c r="G96" s="131" t="s">
        <v>41</v>
      </c>
      <c r="H96" s="129">
        <f>ROUND(L96/I96/4,9)</f>
        <v>0.047280535</v>
      </c>
      <c r="I96" s="132">
        <f>I97+I98</f>
        <v>4.59116</v>
      </c>
      <c r="J96" s="133">
        <f>J97+J98</f>
        <v>207</v>
      </c>
      <c r="K96" s="128" t="s">
        <v>42</v>
      </c>
      <c r="L96" s="134">
        <f>L97+L98</f>
        <v>0.86829</v>
      </c>
      <c r="M96" s="135">
        <f>M97+M98</f>
        <v>1402.844</v>
      </c>
      <c r="N96" s="135">
        <f>N97+N98</f>
        <v>1756.332</v>
      </c>
      <c r="O96" s="782">
        <f>ROUND(X96/W96,5)</f>
        <v>2505.0801</v>
      </c>
      <c r="P96" s="782">
        <f>ROUND(Y96/W96,5)</f>
        <v>2101.6377</v>
      </c>
      <c r="Q96" s="130">
        <f>ROUND(P96/O96%,1)</f>
        <v>83.9</v>
      </c>
      <c r="R96" s="131" t="s">
        <v>41</v>
      </c>
      <c r="S96" s="129">
        <f>ROUND(W96/T96/4,9)</f>
        <v>0.047280535</v>
      </c>
      <c r="T96" s="132">
        <f>T97+T98</f>
        <v>4.59116</v>
      </c>
      <c r="U96" s="133">
        <f>U97+U98</f>
        <v>207</v>
      </c>
      <c r="V96" s="131" t="s">
        <v>42</v>
      </c>
      <c r="W96" s="136">
        <f>W97+W98</f>
        <v>0.86829</v>
      </c>
      <c r="X96" s="135">
        <f>X97+X98</f>
        <v>2175.136</v>
      </c>
      <c r="Y96" s="135">
        <f>Y97+Y98</f>
        <v>1824.831</v>
      </c>
      <c r="Z96" s="137">
        <f aca="true" t="shared" si="13" ref="Z96:AA98">ROUND(X96/M96,4)</f>
        <v>1.5505</v>
      </c>
      <c r="AA96" s="137">
        <f t="shared" si="13"/>
        <v>1.039</v>
      </c>
      <c r="AB96" s="138">
        <f>X96-Y96</f>
        <v>350.30500000000006</v>
      </c>
    </row>
    <row r="97" spans="1:28" s="139" customFormat="1" ht="48" customHeight="1">
      <c r="A97" s="140" t="s">
        <v>43</v>
      </c>
      <c r="B97" s="141" t="s">
        <v>44</v>
      </c>
      <c r="C97" s="128" t="s">
        <v>40</v>
      </c>
      <c r="D97" s="129"/>
      <c r="E97" s="129"/>
      <c r="F97" s="130" t="e">
        <f>ROUND(E97/D97%,1)</f>
        <v>#DIV/0!</v>
      </c>
      <c r="G97" s="131" t="s">
        <v>41</v>
      </c>
      <c r="H97" s="142" t="s">
        <v>45</v>
      </c>
      <c r="I97" s="143"/>
      <c r="J97" s="144"/>
      <c r="K97" s="128" t="s">
        <v>42</v>
      </c>
      <c r="L97" s="134"/>
      <c r="M97" s="145">
        <f>ROUND(D97*L97,3)</f>
        <v>0</v>
      </c>
      <c r="N97" s="145">
        <f>ROUND(E97*L97,3)</f>
        <v>0</v>
      </c>
      <c r="O97" s="782"/>
      <c r="P97" s="782"/>
      <c r="Q97" s="130" t="e">
        <f>ROUND(P97/O97%,1)</f>
        <v>#DIV/0!</v>
      </c>
      <c r="R97" s="131" t="s">
        <v>41</v>
      </c>
      <c r="S97" s="142" t="s">
        <v>45</v>
      </c>
      <c r="T97" s="146"/>
      <c r="U97" s="144"/>
      <c r="V97" s="147" t="s">
        <v>90</v>
      </c>
      <c r="W97" s="148">
        <f>L97</f>
        <v>0</v>
      </c>
      <c r="X97" s="145">
        <f>ROUND(O97*W97,3)</f>
        <v>0</v>
      </c>
      <c r="Y97" s="145">
        <f>ROUND(P97*W97,3)</f>
        <v>0</v>
      </c>
      <c r="Z97" s="149" t="e">
        <f t="shared" si="13"/>
        <v>#DIV/0!</v>
      </c>
      <c r="AA97" s="149" t="e">
        <f t="shared" si="13"/>
        <v>#DIV/0!</v>
      </c>
      <c r="AB97" s="150">
        <f>X97-Y97</f>
        <v>0</v>
      </c>
    </row>
    <row r="98" spans="1:28" s="139" customFormat="1" ht="42.75" customHeight="1">
      <c r="A98" s="151" t="s">
        <v>47</v>
      </c>
      <c r="B98" s="141" t="s">
        <v>48</v>
      </c>
      <c r="C98" s="128" t="s">
        <v>40</v>
      </c>
      <c r="D98" s="129">
        <v>1615.64</v>
      </c>
      <c r="E98" s="129">
        <f>'отопление плата . (2-2)'!E71</f>
        <v>2022.748422</v>
      </c>
      <c r="F98" s="130">
        <f>ROUND(E98/D98%,1)</f>
        <v>125.2</v>
      </c>
      <c r="G98" s="131" t="s">
        <v>41</v>
      </c>
      <c r="H98" s="129">
        <f>'норм отопл  (2-1) '!E88</f>
        <v>0.04728053</v>
      </c>
      <c r="I98" s="143">
        <f>'норм отопл  (2-1) '!G88</f>
        <v>4.59116</v>
      </c>
      <c r="J98" s="144">
        <f>'норм отопл  (2-1) '!H88</f>
        <v>207</v>
      </c>
      <c r="K98" s="128" t="s">
        <v>42</v>
      </c>
      <c r="L98" s="152">
        <f>ROUND(H98*I98*4,5)</f>
        <v>0.86829</v>
      </c>
      <c r="M98" s="145">
        <f>ROUND(D98*L98,3)</f>
        <v>1402.844</v>
      </c>
      <c r="N98" s="145">
        <f>ROUND(E98*L98,3)</f>
        <v>1756.332</v>
      </c>
      <c r="O98" s="782">
        <f>'отопление плата . (2-2)'!J98</f>
        <v>2505.0801</v>
      </c>
      <c r="P98" s="782">
        <f>'отопление плата . (2-2)'!K98</f>
        <v>2101.637702</v>
      </c>
      <c r="Q98" s="130">
        <f>ROUND(P98/O98%,1)</f>
        <v>83.9</v>
      </c>
      <c r="R98" s="131" t="s">
        <v>41</v>
      </c>
      <c r="S98" s="129">
        <f>'норм отопл  (2-1) '!J88</f>
        <v>0.04728053</v>
      </c>
      <c r="T98" s="146">
        <f>'норм отопл  (2-1) '!L88</f>
        <v>4.59116</v>
      </c>
      <c r="U98" s="144">
        <f>'норм отопл  (2-1) '!M88</f>
        <v>207</v>
      </c>
      <c r="V98" s="147" t="s">
        <v>42</v>
      </c>
      <c r="W98" s="148">
        <f>ROUND(S98*T98*4,5)</f>
        <v>0.86829</v>
      </c>
      <c r="X98" s="145">
        <f>ROUND(O98*W98,3)</f>
        <v>2175.136</v>
      </c>
      <c r="Y98" s="145">
        <f>ROUND(P98*W98,3)</f>
        <v>1824.831</v>
      </c>
      <c r="Z98" s="149">
        <f t="shared" si="13"/>
        <v>1.5505</v>
      </c>
      <c r="AA98" s="149">
        <f t="shared" si="13"/>
        <v>1.039</v>
      </c>
      <c r="AB98" s="150">
        <f>X98-Y98</f>
        <v>350.30500000000006</v>
      </c>
    </row>
    <row r="99" spans="1:28" s="139" customFormat="1" ht="6" customHeight="1">
      <c r="A99" s="167"/>
      <c r="B99" s="190"/>
      <c r="C99" s="191"/>
      <c r="D99" s="129"/>
      <c r="E99" s="129"/>
      <c r="F99" s="130"/>
      <c r="G99" s="131"/>
      <c r="H99" s="192"/>
      <c r="I99" s="146"/>
      <c r="J99" s="165"/>
      <c r="K99" s="131"/>
      <c r="L99" s="152"/>
      <c r="M99" s="146"/>
      <c r="N99" s="146"/>
      <c r="O99" s="782"/>
      <c r="P99" s="782"/>
      <c r="Q99" s="130"/>
      <c r="R99" s="131"/>
      <c r="S99" s="192"/>
      <c r="T99" s="144"/>
      <c r="U99" s="165"/>
      <c r="V99" s="131"/>
      <c r="W99" s="148"/>
      <c r="X99" s="146"/>
      <c r="Y99" s="146"/>
      <c r="Z99" s="149"/>
      <c r="AA99" s="149"/>
      <c r="AB99" s="150"/>
    </row>
    <row r="100" spans="1:28" s="156" customFormat="1" ht="12.75" customHeight="1">
      <c r="A100" s="126">
        <v>2</v>
      </c>
      <c r="B100" s="846" t="s">
        <v>49</v>
      </c>
      <c r="C100" s="846"/>
      <c r="D100" s="129">
        <f>ROUND(M100/L100,5)</f>
        <v>216.2113</v>
      </c>
      <c r="E100" s="129">
        <f>ROUND(N100/L100,5)</f>
        <v>216.2113</v>
      </c>
      <c r="F100" s="153"/>
      <c r="G100" s="154"/>
      <c r="H100" s="156">
        <f>L100/J100/4*1000</f>
        <v>174.1300966183575</v>
      </c>
      <c r="I100" s="155">
        <f>I101+I103</f>
        <v>4.59016</v>
      </c>
      <c r="J100" s="133">
        <f>J101+J103</f>
        <v>207</v>
      </c>
      <c r="K100" s="154"/>
      <c r="L100" s="134">
        <f>L102+L104</f>
        <v>144.17972</v>
      </c>
      <c r="M100" s="135">
        <f>M101+M103+M104</f>
        <v>31173.285</v>
      </c>
      <c r="N100" s="135">
        <f>N101+N103+N104</f>
        <v>31173.285</v>
      </c>
      <c r="O100" s="782">
        <f>ROUND(X100/W100,5)</f>
        <v>210.59997</v>
      </c>
      <c r="P100" s="782">
        <f>ROUND(Y100/W100,5)</f>
        <v>210.59997</v>
      </c>
      <c r="Q100" s="153"/>
      <c r="R100" s="154"/>
      <c r="S100" s="129">
        <f>ROUND(W100/U100/4*1000,9)</f>
        <v>174.130096618</v>
      </c>
      <c r="T100" s="155">
        <f>T101+T103</f>
        <v>4.59016</v>
      </c>
      <c r="U100" s="133">
        <f>U101+U103</f>
        <v>207</v>
      </c>
      <c r="V100" s="154"/>
      <c r="W100" s="136">
        <f>W102+W104</f>
        <v>144.17972</v>
      </c>
      <c r="X100" s="135">
        <f>X101+X103+X104</f>
        <v>30364.244</v>
      </c>
      <c r="Y100" s="135">
        <f>Y101+Y103+Y104</f>
        <v>30364.244</v>
      </c>
      <c r="Z100" s="137">
        <f>ROUND(X100/M100,4)</f>
        <v>0.974</v>
      </c>
      <c r="AA100" s="137">
        <f>ROUND(Y100/N100,4)</f>
        <v>0.974</v>
      </c>
      <c r="AB100" s="138">
        <f>AB101+AB103+AB104</f>
        <v>0</v>
      </c>
    </row>
    <row r="101" spans="1:28" s="139" customFormat="1" ht="70.5" customHeight="1">
      <c r="A101" s="140" t="s">
        <v>50</v>
      </c>
      <c r="B101" s="157" t="s">
        <v>51</v>
      </c>
      <c r="C101" s="158" t="s">
        <v>40</v>
      </c>
      <c r="D101" s="129"/>
      <c r="E101" s="129"/>
      <c r="F101" s="130"/>
      <c r="G101" s="131"/>
      <c r="H101" s="142" t="s">
        <v>45</v>
      </c>
      <c r="I101" s="143"/>
      <c r="J101" s="144"/>
      <c r="K101" s="147" t="s">
        <v>42</v>
      </c>
      <c r="L101" s="152"/>
      <c r="M101" s="145"/>
      <c r="N101" s="145"/>
      <c r="O101" s="782"/>
      <c r="P101" s="782"/>
      <c r="Q101" s="130"/>
      <c r="R101" s="131"/>
      <c r="S101" s="142" t="s">
        <v>45</v>
      </c>
      <c r="T101" s="146"/>
      <c r="U101" s="144"/>
      <c r="V101" s="147" t="s">
        <v>42</v>
      </c>
      <c r="W101" s="148"/>
      <c r="X101" s="145"/>
      <c r="Y101" s="145"/>
      <c r="Z101" s="149"/>
      <c r="AA101" s="149"/>
      <c r="AB101" s="150"/>
    </row>
    <row r="102" spans="1:28" s="139" customFormat="1" ht="73.5" customHeight="1">
      <c r="A102" s="140" t="s">
        <v>52</v>
      </c>
      <c r="B102" s="157" t="s">
        <v>53</v>
      </c>
      <c r="C102" s="159" t="s">
        <v>54</v>
      </c>
      <c r="D102" s="129"/>
      <c r="E102" s="129"/>
      <c r="F102" s="130"/>
      <c r="G102" s="131"/>
      <c r="H102" s="142" t="s">
        <v>45</v>
      </c>
      <c r="I102" s="143"/>
      <c r="J102" s="144"/>
      <c r="K102" s="159" t="s">
        <v>55</v>
      </c>
      <c r="L102" s="152"/>
      <c r="M102" s="145"/>
      <c r="N102" s="145"/>
      <c r="O102" s="782"/>
      <c r="P102" s="782"/>
      <c r="Q102" s="130"/>
      <c r="R102" s="131"/>
      <c r="S102" s="142" t="s">
        <v>45</v>
      </c>
      <c r="T102" s="146"/>
      <c r="U102" s="144"/>
      <c r="V102" s="147" t="s">
        <v>56</v>
      </c>
      <c r="W102" s="148"/>
      <c r="X102" s="145"/>
      <c r="Y102" s="145"/>
      <c r="Z102" s="149"/>
      <c r="AA102" s="149"/>
      <c r="AB102" s="150"/>
    </row>
    <row r="103" spans="1:28" s="139" customFormat="1" ht="69.75" customHeight="1">
      <c r="A103" s="151" t="s">
        <v>57</v>
      </c>
      <c r="B103" s="157" t="s">
        <v>58</v>
      </c>
      <c r="C103" s="128" t="s">
        <v>40</v>
      </c>
      <c r="D103" s="129">
        <f>'ГВС  плата  базов. (3-2)'!D110</f>
        <v>2411.050052</v>
      </c>
      <c r="E103" s="129">
        <f>'ГВС  плата  базов. (3-2)'!G110</f>
        <v>2411.050052</v>
      </c>
      <c r="F103" s="130">
        <f>ROUND(E103/D103%,1)</f>
        <v>100</v>
      </c>
      <c r="G103" s="131" t="s">
        <v>59</v>
      </c>
      <c r="H103" s="129">
        <f>'норм. ГВС  (3-1)'!F118</f>
        <v>11.997560386</v>
      </c>
      <c r="I103" s="143">
        <f>'норм. ГВС  (3-1)'!I118</f>
        <v>4.59016</v>
      </c>
      <c r="J103" s="144">
        <f>'норм. ГВС  (3-1)'!J118</f>
        <v>207</v>
      </c>
      <c r="K103" s="128" t="s">
        <v>42</v>
      </c>
      <c r="L103" s="152">
        <f>ROUND(H103*J103*4/1000,5)</f>
        <v>9.93398</v>
      </c>
      <c r="M103" s="145">
        <f>ROUND(D103*L103,3)</f>
        <v>23951.323</v>
      </c>
      <c r="N103" s="145">
        <f>ROUND(E103*L103,3)</f>
        <v>23951.323</v>
      </c>
      <c r="O103" s="782">
        <f>'ГВС  2 пол.плата (3-4)'!D48</f>
        <v>2505.080038</v>
      </c>
      <c r="P103" s="782">
        <f>'ГВС  2 пол.плата (3-4)'!G48</f>
        <v>2505.080038</v>
      </c>
      <c r="Q103" s="130">
        <f>ROUND(P103/O103%,1)</f>
        <v>100</v>
      </c>
      <c r="R103" s="131" t="s">
        <v>59</v>
      </c>
      <c r="S103" s="129">
        <f>'норм. ГВС  (3-1)'!M118</f>
        <v>11.997560386</v>
      </c>
      <c r="T103" s="146">
        <f>'норм. ГВС  (3-1)'!P118</f>
        <v>4.59016</v>
      </c>
      <c r="U103" s="144">
        <f>'норм. ГВС  (3-1)'!Q118</f>
        <v>207</v>
      </c>
      <c r="V103" s="147" t="s">
        <v>42</v>
      </c>
      <c r="W103" s="160">
        <f>ROUND(S103*U103*4/1000,5)</f>
        <v>9.93398</v>
      </c>
      <c r="X103" s="145">
        <f>ROUND(O103*W103,3)</f>
        <v>24885.415</v>
      </c>
      <c r="Y103" s="145">
        <f>ROUND(P103*W103,3)</f>
        <v>24885.415</v>
      </c>
      <c r="Z103" s="149">
        <f>ROUND(X103/M103,4)</f>
        <v>1.039</v>
      </c>
      <c r="AA103" s="149">
        <f>ROUND(Y103/N103,4)</f>
        <v>1.039</v>
      </c>
      <c r="AB103" s="150">
        <f>X103-Y103</f>
        <v>0</v>
      </c>
    </row>
    <row r="104" spans="1:28" s="139" customFormat="1" ht="78.75" customHeight="1">
      <c r="A104" s="151" t="s">
        <v>60</v>
      </c>
      <c r="B104" s="157" t="s">
        <v>61</v>
      </c>
      <c r="C104" s="158" t="s">
        <v>91</v>
      </c>
      <c r="D104" s="129">
        <f>'ГВС  плата  базов. (3-2)'!E110</f>
        <v>50.089999</v>
      </c>
      <c r="E104" s="129">
        <f>'ГВС  плата  базов. (3-2)'!H110</f>
        <v>50.089999</v>
      </c>
      <c r="F104" s="130">
        <f>ROUND(E104/D104%,1)</f>
        <v>100</v>
      </c>
      <c r="G104" s="131" t="s">
        <v>63</v>
      </c>
      <c r="H104" s="129">
        <f>'норм. ГВС  (3-1)'!G118</f>
        <v>174.130096618</v>
      </c>
      <c r="I104" s="143">
        <f>'норм. ГВС  (3-1)'!I118</f>
        <v>4.59016</v>
      </c>
      <c r="J104" s="144">
        <f>'норм. ГВС  (3-1)'!J118</f>
        <v>207</v>
      </c>
      <c r="K104" s="147" t="s">
        <v>90</v>
      </c>
      <c r="L104" s="152">
        <f>ROUND(H104*J104*4/1000,5)</f>
        <v>144.17972</v>
      </c>
      <c r="M104" s="145">
        <f>ROUND(D104*L104,3)</f>
        <v>7221.962</v>
      </c>
      <c r="N104" s="145">
        <f>ROUND(E104*L104,3)</f>
        <v>7221.962</v>
      </c>
      <c r="O104" s="782">
        <v>38</v>
      </c>
      <c r="P104" s="782">
        <v>38</v>
      </c>
      <c r="Q104" s="130">
        <f>ROUND(P104/O104%,1)</f>
        <v>100</v>
      </c>
      <c r="R104" s="131" t="s">
        <v>63</v>
      </c>
      <c r="S104" s="129">
        <f>'норм. ГВС  (3-1)'!N118</f>
        <v>174.130096618</v>
      </c>
      <c r="T104" s="146">
        <f>'норм. ГВС  (3-1)'!P118</f>
        <v>4.59016</v>
      </c>
      <c r="U104" s="144">
        <f>'норм. ГВС  (3-1)'!Q118</f>
        <v>207</v>
      </c>
      <c r="V104" s="147" t="s">
        <v>92</v>
      </c>
      <c r="W104" s="160">
        <f>ROUND(S104*U104*4/1000,5)</f>
        <v>144.17972</v>
      </c>
      <c r="X104" s="145">
        <f>ROUND(O104*W104,3)</f>
        <v>5478.829</v>
      </c>
      <c r="Y104" s="145">
        <f>ROUND(P104*W104,3)</f>
        <v>5478.829</v>
      </c>
      <c r="Z104" s="149">
        <f>ROUND(X104/M104,4)</f>
        <v>0.7586</v>
      </c>
      <c r="AA104" s="149">
        <f>ROUND(Y104/N104,4)</f>
        <v>0.7586</v>
      </c>
      <c r="AB104" s="150">
        <f>X104-Y104</f>
        <v>0</v>
      </c>
    </row>
    <row r="105" spans="1:28" s="45" customFormat="1" ht="6" customHeight="1">
      <c r="A105" s="76"/>
      <c r="B105" s="77"/>
      <c r="C105" s="78"/>
      <c r="D105" s="35"/>
      <c r="E105" s="35"/>
      <c r="F105" s="36"/>
      <c r="G105" s="37"/>
      <c r="H105" s="35"/>
      <c r="I105" s="49"/>
      <c r="J105" s="50"/>
      <c r="K105" s="74"/>
      <c r="L105" s="35"/>
      <c r="M105" s="53"/>
      <c r="N105" s="53"/>
      <c r="O105" s="775"/>
      <c r="P105" s="775"/>
      <c r="Q105" s="36"/>
      <c r="R105" s="37"/>
      <c r="S105" s="35"/>
      <c r="T105" s="50"/>
      <c r="U105" s="50"/>
      <c r="V105" s="54"/>
      <c r="W105" s="55"/>
      <c r="X105" s="53"/>
      <c r="Y105" s="53"/>
      <c r="Z105" s="56"/>
      <c r="AA105" s="56"/>
      <c r="AB105" s="57"/>
    </row>
    <row r="106" spans="1:28" s="139" customFormat="1" ht="12.75" customHeight="1">
      <c r="A106" s="126">
        <v>3</v>
      </c>
      <c r="B106" s="847" t="s">
        <v>65</v>
      </c>
      <c r="C106" s="847"/>
      <c r="D106" s="129">
        <f>ROUND(M106/L106,5)</f>
        <v>36.58</v>
      </c>
      <c r="E106" s="129">
        <f>ROUND(N106/L106,5)</f>
        <v>36.58</v>
      </c>
      <c r="F106" s="130"/>
      <c r="G106" s="131"/>
      <c r="H106" s="129">
        <f>ROUND(L106/J106/4*1000,9)</f>
        <v>293.537149758</v>
      </c>
      <c r="I106" s="155">
        <f>I107+I108</f>
        <v>4.59016</v>
      </c>
      <c r="J106" s="133">
        <f>J107+J108</f>
        <v>207</v>
      </c>
      <c r="K106" s="133"/>
      <c r="L106" s="134">
        <f>L107+L108</f>
        <v>243.04876</v>
      </c>
      <c r="M106" s="135">
        <f>M107+M108</f>
        <v>8890.724</v>
      </c>
      <c r="N106" s="135">
        <f>N107+N108</f>
        <v>8890.724</v>
      </c>
      <c r="O106" s="782">
        <f>ROUND(X106/W106,5)</f>
        <v>38</v>
      </c>
      <c r="P106" s="782">
        <f>ROUND(Y106/W106,5)</f>
        <v>38</v>
      </c>
      <c r="Q106" s="130"/>
      <c r="R106" s="131"/>
      <c r="S106" s="129">
        <f>ROUND(W100/U100/4*1000,9)</f>
        <v>174.130096618</v>
      </c>
      <c r="T106" s="155">
        <f>T107+T108</f>
        <v>4.59016</v>
      </c>
      <c r="U106" s="133">
        <f>U107+U108</f>
        <v>207</v>
      </c>
      <c r="V106" s="147"/>
      <c r="W106" s="136">
        <f>W107+W108</f>
        <v>243.04876</v>
      </c>
      <c r="X106" s="135">
        <f>X107+X108</f>
        <v>9235.853</v>
      </c>
      <c r="Y106" s="135">
        <f>Y107+Y108</f>
        <v>9235.853</v>
      </c>
      <c r="Z106" s="137">
        <f aca="true" t="shared" si="14" ref="Z106:AA108">ROUND(X106/M106,4)</f>
        <v>1.0388</v>
      </c>
      <c r="AA106" s="137">
        <f t="shared" si="14"/>
        <v>1.0388</v>
      </c>
      <c r="AB106" s="138">
        <f>AB107+AB108</f>
        <v>0</v>
      </c>
    </row>
    <row r="107" spans="1:28" s="139" customFormat="1" ht="42.75" customHeight="1">
      <c r="A107" s="140" t="s">
        <v>66</v>
      </c>
      <c r="B107" s="164" t="s">
        <v>67</v>
      </c>
      <c r="C107" s="158" t="s">
        <v>93</v>
      </c>
      <c r="D107" s="129">
        <v>36.58</v>
      </c>
      <c r="E107" s="129">
        <v>36.58</v>
      </c>
      <c r="F107" s="130">
        <f>ROUND(E107/D107%,1)</f>
        <v>100</v>
      </c>
      <c r="G107" s="131"/>
      <c r="H107" s="142" t="s">
        <v>45</v>
      </c>
      <c r="I107" s="143">
        <f>'норм. ХВС для ЦО (4-1) '!H130</f>
        <v>0</v>
      </c>
      <c r="J107" s="165">
        <f>'норм. ХВС для ЦО (4-1) '!I130</f>
        <v>0</v>
      </c>
      <c r="K107" s="147" t="s">
        <v>90</v>
      </c>
      <c r="L107" s="152"/>
      <c r="M107" s="166">
        <f>ROUND(D107*L107,3)</f>
        <v>0</v>
      </c>
      <c r="N107" s="166">
        <f>ROUND(E107*L107,3)</f>
        <v>0</v>
      </c>
      <c r="O107" s="782">
        <v>38</v>
      </c>
      <c r="P107" s="782">
        <v>38</v>
      </c>
      <c r="Q107" s="130">
        <f>ROUND(P107/O107%,1)</f>
        <v>100</v>
      </c>
      <c r="R107" s="131"/>
      <c r="S107" s="142" t="s">
        <v>45</v>
      </c>
      <c r="T107" s="146">
        <f>'норм. ХВС для ЦО (4-1) '!M130</f>
        <v>0</v>
      </c>
      <c r="U107" s="165">
        <f>'норм. ХВС для ЦО (4-1) '!N130</f>
        <v>0</v>
      </c>
      <c r="V107" s="147" t="s">
        <v>90</v>
      </c>
      <c r="W107" s="148">
        <f>L107</f>
        <v>0</v>
      </c>
      <c r="X107" s="166">
        <f>ROUND(O107*W107,3)</f>
        <v>0</v>
      </c>
      <c r="Y107" s="166">
        <f>ROUND(P107*W107,3)</f>
        <v>0</v>
      </c>
      <c r="Z107" s="149" t="e">
        <f t="shared" si="14"/>
        <v>#DIV/0!</v>
      </c>
      <c r="AA107" s="149" t="e">
        <f t="shared" si="14"/>
        <v>#DIV/0!</v>
      </c>
      <c r="AB107" s="150">
        <f>X107-Y107</f>
        <v>0</v>
      </c>
    </row>
    <row r="108" spans="1:28" s="139" customFormat="1" ht="45.75" customHeight="1">
      <c r="A108" s="140" t="s">
        <v>69</v>
      </c>
      <c r="B108" s="164" t="s">
        <v>48</v>
      </c>
      <c r="C108" s="158" t="s">
        <v>93</v>
      </c>
      <c r="D108" s="129">
        <v>36.58</v>
      </c>
      <c r="E108" s="129">
        <v>36.58</v>
      </c>
      <c r="F108" s="130">
        <f>ROUND(E108/D108%,1)</f>
        <v>100</v>
      </c>
      <c r="G108" s="131" t="s">
        <v>63</v>
      </c>
      <c r="H108" s="129">
        <f>'норм. ХВС для ЦО (4-1) '!F117</f>
        <v>293.53715</v>
      </c>
      <c r="I108" s="143">
        <f>'норм. ХВС для ЦО (4-1) '!H117</f>
        <v>4.59016</v>
      </c>
      <c r="J108" s="144">
        <f>'норм. ХВС для ЦО (4-1) '!I117</f>
        <v>207</v>
      </c>
      <c r="K108" s="147" t="s">
        <v>90</v>
      </c>
      <c r="L108" s="152">
        <f>ROUND(H108*J108*4/1000,5)</f>
        <v>243.04876</v>
      </c>
      <c r="M108" s="166">
        <f>ROUND(D108*L108,3)</f>
        <v>8890.724</v>
      </c>
      <c r="N108" s="166">
        <f>ROUND(E108*L108,3)</f>
        <v>8890.724</v>
      </c>
      <c r="O108" s="782">
        <v>38</v>
      </c>
      <c r="P108" s="782">
        <v>38</v>
      </c>
      <c r="Q108" s="130">
        <f>ROUND(P108/O108%,1)</f>
        <v>100</v>
      </c>
      <c r="R108" s="131" t="s">
        <v>63</v>
      </c>
      <c r="S108" s="129">
        <f>'норм. ХВС для ЦО (4-1) '!K117</f>
        <v>293.53715</v>
      </c>
      <c r="T108" s="146">
        <f>'норм. ХВС для ЦО (4-1) '!M117</f>
        <v>4.59016</v>
      </c>
      <c r="U108" s="144">
        <f>'норм. ХВС для ЦО (4-1) '!N117</f>
        <v>207</v>
      </c>
      <c r="V108" s="147" t="s">
        <v>90</v>
      </c>
      <c r="W108" s="160">
        <f>ROUND(S108*U108*4/1000,5)</f>
        <v>243.04876</v>
      </c>
      <c r="X108" s="166">
        <f>ROUND(O108*W108,3)</f>
        <v>9235.853</v>
      </c>
      <c r="Y108" s="166">
        <f>ROUND(P108*W108,3)</f>
        <v>9235.853</v>
      </c>
      <c r="Z108" s="149">
        <f t="shared" si="14"/>
        <v>1.0388</v>
      </c>
      <c r="AA108" s="149">
        <f t="shared" si="14"/>
        <v>1.0388</v>
      </c>
      <c r="AB108" s="150">
        <f>X108-Y108</f>
        <v>0</v>
      </c>
    </row>
    <row r="109" spans="1:28" s="139" customFormat="1" ht="6" customHeight="1">
      <c r="A109" s="167"/>
      <c r="B109" s="168"/>
      <c r="C109" s="158"/>
      <c r="D109" s="129"/>
      <c r="E109" s="129"/>
      <c r="F109" s="130"/>
      <c r="G109" s="131"/>
      <c r="H109" s="129"/>
      <c r="I109" s="143"/>
      <c r="J109" s="144"/>
      <c r="K109" s="147"/>
      <c r="L109" s="129"/>
      <c r="M109" s="146"/>
      <c r="N109" s="146"/>
      <c r="O109" s="782"/>
      <c r="P109" s="782"/>
      <c r="Q109" s="130"/>
      <c r="R109" s="131"/>
      <c r="S109" s="129"/>
      <c r="T109" s="144"/>
      <c r="U109" s="144"/>
      <c r="V109" s="147"/>
      <c r="W109" s="148"/>
      <c r="X109" s="146"/>
      <c r="Y109" s="146"/>
      <c r="Z109" s="149"/>
      <c r="AA109" s="149"/>
      <c r="AB109" s="150"/>
    </row>
    <row r="110" spans="1:28" s="139" customFormat="1" ht="12.75" customHeight="1">
      <c r="A110" s="126">
        <v>4</v>
      </c>
      <c r="B110" s="848" t="s">
        <v>70</v>
      </c>
      <c r="C110" s="848"/>
      <c r="D110" s="129">
        <f>ROUND(M110/L110,5)</f>
        <v>69.55005</v>
      </c>
      <c r="E110" s="129">
        <f>ROUND(N110/L110,5)</f>
        <v>69.55005</v>
      </c>
      <c r="F110" s="130"/>
      <c r="G110" s="131"/>
      <c r="H110" s="129">
        <f>ROUND(L110/J110/4*1000,9)</f>
        <v>4.238</v>
      </c>
      <c r="I110" s="155">
        <f>I111+I112</f>
        <v>8.8</v>
      </c>
      <c r="J110" s="133">
        <f>J111+J112</f>
        <v>400</v>
      </c>
      <c r="K110" s="133"/>
      <c r="L110" s="134">
        <f>L111+L112</f>
        <v>6.7808</v>
      </c>
      <c r="M110" s="135">
        <f>M111+M112</f>
        <v>471.605</v>
      </c>
      <c r="N110" s="135">
        <f>N111+N112</f>
        <v>471.605</v>
      </c>
      <c r="O110" s="782">
        <f>ROUND(X110/W110,5)</f>
        <v>72.14001</v>
      </c>
      <c r="P110" s="782">
        <f>ROUND(Y110/W110,5)</f>
        <v>72.14001</v>
      </c>
      <c r="Q110" s="130"/>
      <c r="R110" s="131"/>
      <c r="S110" s="129">
        <f>ROUND(W104/U104/4*1000,9)</f>
        <v>174.130096618</v>
      </c>
      <c r="T110" s="155">
        <f>T111+T112</f>
        <v>8.8</v>
      </c>
      <c r="U110" s="133">
        <f>U111+U112</f>
        <v>400</v>
      </c>
      <c r="V110" s="147"/>
      <c r="W110" s="136">
        <f>W111+W112</f>
        <v>6.7808</v>
      </c>
      <c r="X110" s="135">
        <f>X111+X112</f>
        <v>489.167</v>
      </c>
      <c r="Y110" s="135">
        <f>Y111+Y112</f>
        <v>489.167</v>
      </c>
      <c r="Z110" s="137">
        <f aca="true" t="shared" si="15" ref="Z110:AA112">ROUND(X110/M110,4)</f>
        <v>1.0372</v>
      </c>
      <c r="AA110" s="137">
        <f t="shared" si="15"/>
        <v>1.0372</v>
      </c>
      <c r="AB110" s="138">
        <f>AB111+AB112</f>
        <v>0</v>
      </c>
    </row>
    <row r="111" spans="1:28" s="139" customFormat="1" ht="56.25" customHeight="1">
      <c r="A111" s="140" t="s">
        <v>71</v>
      </c>
      <c r="B111" s="164" t="s">
        <v>94</v>
      </c>
      <c r="C111" s="158" t="s">
        <v>93</v>
      </c>
      <c r="D111" s="129"/>
      <c r="E111" s="129"/>
      <c r="F111" s="130" t="e">
        <f>ROUND(E111/D111%,1)</f>
        <v>#DIV/0!</v>
      </c>
      <c r="G111" s="131"/>
      <c r="H111" s="142" t="s">
        <v>45</v>
      </c>
      <c r="I111" s="146"/>
      <c r="J111" s="165"/>
      <c r="K111" s="147" t="s">
        <v>90</v>
      </c>
      <c r="L111" s="152"/>
      <c r="M111" s="166">
        <f>ROUND(D111*L111,3)</f>
        <v>0</v>
      </c>
      <c r="N111" s="166">
        <f>ROUND(E111*L111,3)</f>
        <v>0</v>
      </c>
      <c r="O111" s="782"/>
      <c r="P111" s="782"/>
      <c r="Q111" s="130" t="e">
        <f>ROUND(P111/O111%,1)</f>
        <v>#DIV/0!</v>
      </c>
      <c r="R111" s="131"/>
      <c r="S111" s="142" t="s">
        <v>45</v>
      </c>
      <c r="T111" s="143"/>
      <c r="U111" s="165"/>
      <c r="V111" s="147" t="s">
        <v>90</v>
      </c>
      <c r="W111" s="148">
        <f>L111</f>
        <v>0</v>
      </c>
      <c r="X111" s="166">
        <f>ROUND(O111*W111,3)</f>
        <v>0</v>
      </c>
      <c r="Y111" s="166">
        <f>ROUND(P111*W111,3)</f>
        <v>0</v>
      </c>
      <c r="Z111" s="149" t="e">
        <f t="shared" si="15"/>
        <v>#DIV/0!</v>
      </c>
      <c r="AA111" s="149" t="e">
        <f t="shared" si="15"/>
        <v>#DIV/0!</v>
      </c>
      <c r="AB111" s="169">
        <f>X111-Y111</f>
        <v>0</v>
      </c>
    </row>
    <row r="112" spans="1:28" s="139" customFormat="1" ht="63" customHeight="1">
      <c r="A112" s="140" t="s">
        <v>73</v>
      </c>
      <c r="B112" s="164" t="s">
        <v>74</v>
      </c>
      <c r="C112" s="158" t="s">
        <v>93</v>
      </c>
      <c r="D112" s="129">
        <v>69.55</v>
      </c>
      <c r="E112" s="129">
        <f>D112</f>
        <v>69.55</v>
      </c>
      <c r="F112" s="130">
        <f>ROUND(E112/D112%,1)</f>
        <v>100</v>
      </c>
      <c r="G112" s="131" t="s">
        <v>63</v>
      </c>
      <c r="H112" s="129">
        <f>'норм водоотв  ЦО (5-1)'!E115</f>
        <v>4.238</v>
      </c>
      <c r="I112" s="146">
        <f>'норм водоотв  ЦО (5-1)'!G115</f>
        <v>8.8</v>
      </c>
      <c r="J112" s="144">
        <f>'норм водоотв  ЦО (5-1)'!H115</f>
        <v>400</v>
      </c>
      <c r="K112" s="147" t="s">
        <v>90</v>
      </c>
      <c r="L112" s="152">
        <f>ROUND(H112*J112*4/1000,5)</f>
        <v>6.7808</v>
      </c>
      <c r="M112" s="166">
        <f>ROUND(D112*L112,3)</f>
        <v>471.605</v>
      </c>
      <c r="N112" s="166">
        <f>ROUND(E112*L112,3)</f>
        <v>471.605</v>
      </c>
      <c r="O112" s="782">
        <v>72.14</v>
      </c>
      <c r="P112" s="782">
        <f>O112</f>
        <v>72.14</v>
      </c>
      <c r="Q112" s="130">
        <f>ROUND(P112/O112%,1)</f>
        <v>100</v>
      </c>
      <c r="R112" s="131" t="s">
        <v>63</v>
      </c>
      <c r="S112" s="129">
        <f>'норм водоотв  ЦО (5-1)'!J115</f>
        <v>4.238</v>
      </c>
      <c r="T112" s="143">
        <f>'норм водоотв  ЦО (5-1)'!L115</f>
        <v>8.8</v>
      </c>
      <c r="U112" s="144">
        <f>'норм водоотв  ЦО (5-1)'!M115</f>
        <v>400</v>
      </c>
      <c r="V112" s="147" t="s">
        <v>90</v>
      </c>
      <c r="W112" s="160">
        <f>ROUND(S112*U112*4/1000,5)</f>
        <v>6.7808</v>
      </c>
      <c r="X112" s="166">
        <f>ROUND(O112*W112,3)</f>
        <v>489.167</v>
      </c>
      <c r="Y112" s="166">
        <f>ROUND(P112*W112,3)</f>
        <v>489.167</v>
      </c>
      <c r="Z112" s="149">
        <f t="shared" si="15"/>
        <v>1.0372</v>
      </c>
      <c r="AA112" s="149">
        <f t="shared" si="15"/>
        <v>1.0372</v>
      </c>
      <c r="AB112" s="169">
        <f>X112-Y112</f>
        <v>0</v>
      </c>
    </row>
    <row r="113" spans="1:28" s="139" customFormat="1" ht="6.75" customHeight="1">
      <c r="A113" s="167"/>
      <c r="B113" s="168"/>
      <c r="C113" s="158"/>
      <c r="D113" s="129"/>
      <c r="E113" s="129"/>
      <c r="F113" s="130"/>
      <c r="G113" s="131"/>
      <c r="H113" s="129"/>
      <c r="I113" s="146"/>
      <c r="J113" s="144"/>
      <c r="K113" s="147"/>
      <c r="L113" s="129"/>
      <c r="M113" s="146"/>
      <c r="N113" s="146"/>
      <c r="O113" s="782"/>
      <c r="P113" s="782"/>
      <c r="Q113" s="130"/>
      <c r="R113" s="131"/>
      <c r="S113" s="129"/>
      <c r="T113" s="143"/>
      <c r="U113" s="144"/>
      <c r="V113" s="147"/>
      <c r="W113" s="148"/>
      <c r="X113" s="146"/>
      <c r="Y113" s="146"/>
      <c r="Z113" s="149"/>
      <c r="AA113" s="170"/>
      <c r="AB113" s="150"/>
    </row>
    <row r="114" spans="1:28" s="139" customFormat="1" ht="6" customHeight="1">
      <c r="A114" s="126"/>
      <c r="B114" s="127"/>
      <c r="C114" s="147"/>
      <c r="D114" s="129"/>
      <c r="E114" s="129"/>
      <c r="F114" s="130"/>
      <c r="G114" s="131"/>
      <c r="H114" s="129"/>
      <c r="I114" s="144"/>
      <c r="J114" s="165"/>
      <c r="K114" s="147"/>
      <c r="L114" s="152"/>
      <c r="M114" s="146"/>
      <c r="N114" s="146"/>
      <c r="O114" s="782"/>
      <c r="P114" s="782"/>
      <c r="Q114" s="130"/>
      <c r="R114" s="131"/>
      <c r="S114" s="129"/>
      <c r="T114" s="143"/>
      <c r="U114" s="165"/>
      <c r="V114" s="147"/>
      <c r="W114" s="148"/>
      <c r="X114" s="146"/>
      <c r="Y114" s="146"/>
      <c r="Z114" s="149"/>
      <c r="AA114" s="170"/>
      <c r="AB114" s="150"/>
    </row>
    <row r="115" spans="1:28" s="139" customFormat="1" ht="12.75">
      <c r="A115" s="126">
        <v>5</v>
      </c>
      <c r="B115" s="127" t="s">
        <v>75</v>
      </c>
      <c r="C115" s="147"/>
      <c r="D115" s="129">
        <f>ROUND(M115/L115,5)</f>
        <v>1.84396</v>
      </c>
      <c r="E115" s="129">
        <f>ROUND(N115/L115,5)</f>
        <v>1.84396</v>
      </c>
      <c r="F115" s="130"/>
      <c r="G115" s="131"/>
      <c r="H115" s="129">
        <f>ROUND(L115/J115/4*1000,9)</f>
        <v>92.11682243</v>
      </c>
      <c r="I115" s="155">
        <f>I116+I117</f>
        <v>18.424</v>
      </c>
      <c r="J115" s="155">
        <f>J116+J117</f>
        <v>856</v>
      </c>
      <c r="K115" s="133"/>
      <c r="L115" s="134">
        <f>L116+L117</f>
        <v>315.408</v>
      </c>
      <c r="M115" s="135">
        <f>M116+M117</f>
        <v>581.6</v>
      </c>
      <c r="N115" s="135">
        <f>N116+N117</f>
        <v>581.6</v>
      </c>
      <c r="O115" s="782">
        <f>ROUND(X115/W115,5)</f>
        <v>1.93147</v>
      </c>
      <c r="P115" s="782">
        <f>ROUND(Y115/W115,5)</f>
        <v>1.93147</v>
      </c>
      <c r="Q115" s="130"/>
      <c r="R115" s="131"/>
      <c r="S115" s="129">
        <f>ROUND(W110/U110/4*1000,9)</f>
        <v>4.238</v>
      </c>
      <c r="T115" s="155">
        <f>T116+T117</f>
        <v>18.424</v>
      </c>
      <c r="U115" s="133">
        <f>U116+U117</f>
        <v>856</v>
      </c>
      <c r="V115" s="133"/>
      <c r="W115" s="136">
        <f>W116+W117</f>
        <v>315.408</v>
      </c>
      <c r="X115" s="135">
        <f>X116+X117</f>
        <v>609.2</v>
      </c>
      <c r="Y115" s="135">
        <f>Y116+Y117</f>
        <v>609.2</v>
      </c>
      <c r="Z115" s="137">
        <f aca="true" t="shared" si="16" ref="Z115:AA117">ROUND(X115/M115,4)</f>
        <v>1.0475</v>
      </c>
      <c r="AA115" s="137">
        <f t="shared" si="16"/>
        <v>1.0475</v>
      </c>
      <c r="AB115" s="138">
        <f>AB116+AB117</f>
        <v>0</v>
      </c>
    </row>
    <row r="116" spans="1:28" s="139" customFormat="1" ht="76.5">
      <c r="A116" s="171" t="s">
        <v>76</v>
      </c>
      <c r="B116" s="172" t="s">
        <v>77</v>
      </c>
      <c r="C116" s="147" t="s">
        <v>78</v>
      </c>
      <c r="D116" s="129"/>
      <c r="E116" s="129"/>
      <c r="F116" s="130" t="e">
        <f>ROUND(E116/D116%,1)</f>
        <v>#DIV/0!</v>
      </c>
      <c r="G116" s="131" t="s">
        <v>79</v>
      </c>
      <c r="H116" s="129"/>
      <c r="I116" s="146"/>
      <c r="J116" s="165"/>
      <c r="K116" s="147" t="s">
        <v>80</v>
      </c>
      <c r="L116" s="129">
        <f>ROUND(H116*J116*4/1000,5)</f>
        <v>0</v>
      </c>
      <c r="M116" s="145">
        <f>ROUND(D116*L116,3)</f>
        <v>0</v>
      </c>
      <c r="N116" s="145">
        <f>ROUND(E116*L116,3)</f>
        <v>0</v>
      </c>
      <c r="O116" s="782"/>
      <c r="P116" s="782"/>
      <c r="Q116" s="130" t="e">
        <f>ROUND(P116/O116%,1)</f>
        <v>#DIV/0!</v>
      </c>
      <c r="R116" s="131" t="s">
        <v>79</v>
      </c>
      <c r="S116" s="129"/>
      <c r="T116" s="143"/>
      <c r="U116" s="165"/>
      <c r="V116" s="147" t="s">
        <v>80</v>
      </c>
      <c r="W116" s="160">
        <f>ROUND(S116*U116*4/1000,5)</f>
        <v>0</v>
      </c>
      <c r="X116" s="145">
        <f>ROUND(O116*W116,3)</f>
        <v>0</v>
      </c>
      <c r="Y116" s="145">
        <f>ROUND(P116*W116,3)</f>
        <v>0</v>
      </c>
      <c r="Z116" s="149" t="e">
        <f t="shared" si="16"/>
        <v>#DIV/0!</v>
      </c>
      <c r="AA116" s="149" t="e">
        <f t="shared" si="16"/>
        <v>#DIV/0!</v>
      </c>
      <c r="AB116" s="169">
        <f>X116-Y116</f>
        <v>0</v>
      </c>
    </row>
    <row r="117" spans="1:28" s="139" customFormat="1" ht="25.5" customHeight="1">
      <c r="A117" s="171" t="s">
        <v>81</v>
      </c>
      <c r="B117" s="172" t="s">
        <v>82</v>
      </c>
      <c r="C117" s="147" t="s">
        <v>78</v>
      </c>
      <c r="D117" s="129">
        <f>'7-2'!C94</f>
        <v>1.843961</v>
      </c>
      <c r="E117" s="129">
        <f>D117</f>
        <v>1.843961</v>
      </c>
      <c r="F117" s="130">
        <f>ROUND(E117/D117%,1)</f>
        <v>100</v>
      </c>
      <c r="G117" s="131" t="s">
        <v>79</v>
      </c>
      <c r="H117" s="129">
        <f>'7-2'!F104</f>
        <v>92.11682243</v>
      </c>
      <c r="I117" s="146">
        <v>18.424</v>
      </c>
      <c r="J117" s="165">
        <v>856</v>
      </c>
      <c r="K117" s="147" t="s">
        <v>80</v>
      </c>
      <c r="L117" s="129">
        <f>ROUND(H117*J117*4/1000,5)</f>
        <v>315.408</v>
      </c>
      <c r="M117" s="145">
        <f>ROUND(D117*L117,3)</f>
        <v>581.6</v>
      </c>
      <c r="N117" s="145">
        <f>ROUND(E117*L117,3)</f>
        <v>581.6</v>
      </c>
      <c r="O117" s="782">
        <f>'7-2'!C106</f>
        <v>1.931467</v>
      </c>
      <c r="P117" s="782">
        <f>O117</f>
        <v>1.931467</v>
      </c>
      <c r="Q117" s="130">
        <f>ROUND(P117/O117%,1)</f>
        <v>100</v>
      </c>
      <c r="R117" s="131" t="s">
        <v>79</v>
      </c>
      <c r="S117" s="129">
        <f>H117</f>
        <v>92.11682243</v>
      </c>
      <c r="T117" s="143">
        <v>18.424</v>
      </c>
      <c r="U117" s="165">
        <v>856</v>
      </c>
      <c r="V117" s="147" t="s">
        <v>80</v>
      </c>
      <c r="W117" s="160">
        <f>ROUND(S117*U117*4/1000,5)</f>
        <v>315.408</v>
      </c>
      <c r="X117" s="145">
        <f>ROUND(O117*W117,3)</f>
        <v>609.2</v>
      </c>
      <c r="Y117" s="145">
        <f>ROUND(P117*W117,3)</f>
        <v>609.2</v>
      </c>
      <c r="Z117" s="149">
        <f t="shared" si="16"/>
        <v>1.0475</v>
      </c>
      <c r="AA117" s="149">
        <f t="shared" si="16"/>
        <v>1.0475</v>
      </c>
      <c r="AB117" s="169">
        <f>X117-Y117</f>
        <v>0</v>
      </c>
    </row>
    <row r="118" spans="1:28" s="139" customFormat="1" ht="6.75" customHeight="1">
      <c r="A118" s="171"/>
      <c r="B118" s="172"/>
      <c r="C118" s="147"/>
      <c r="D118" s="129"/>
      <c r="E118" s="129"/>
      <c r="F118" s="130"/>
      <c r="G118" s="131"/>
      <c r="H118" s="129"/>
      <c r="I118" s="144"/>
      <c r="J118" s="165"/>
      <c r="K118" s="147"/>
      <c r="L118" s="129"/>
      <c r="M118" s="146"/>
      <c r="N118" s="146"/>
      <c r="O118" s="782"/>
      <c r="P118" s="782"/>
      <c r="Q118" s="130"/>
      <c r="R118" s="131"/>
      <c r="S118" s="129"/>
      <c r="T118" s="143"/>
      <c r="U118" s="165"/>
      <c r="V118" s="147"/>
      <c r="W118" s="148"/>
      <c r="X118" s="146"/>
      <c r="Y118" s="146"/>
      <c r="Z118" s="149"/>
      <c r="AA118" s="170"/>
      <c r="AB118" s="150"/>
    </row>
    <row r="119" spans="1:28" s="178" customFormat="1" ht="51">
      <c r="A119" s="126">
        <v>6</v>
      </c>
      <c r="B119" s="127" t="s">
        <v>83</v>
      </c>
      <c r="C119" s="173"/>
      <c r="D119" s="174">
        <v>44.12</v>
      </c>
      <c r="E119" s="174">
        <v>44.12</v>
      </c>
      <c r="F119" s="175">
        <f>ROUND(E119/D119%,1)</f>
        <v>100</v>
      </c>
      <c r="G119" s="176" t="s">
        <v>84</v>
      </c>
      <c r="H119" s="174">
        <v>3</v>
      </c>
      <c r="I119" s="155">
        <v>18.424</v>
      </c>
      <c r="J119" s="133">
        <v>856</v>
      </c>
      <c r="K119" s="173" t="s">
        <v>85</v>
      </c>
      <c r="L119" s="134">
        <f>ROUND(H119*J119*4/1000,5)</f>
        <v>10.272</v>
      </c>
      <c r="M119" s="135">
        <f>ROUND(D119*L119,3)</f>
        <v>453.201</v>
      </c>
      <c r="N119" s="135">
        <f>ROUND(E119*L119,3)</f>
        <v>453.201</v>
      </c>
      <c r="O119" s="783">
        <v>45.62</v>
      </c>
      <c r="P119" s="783">
        <v>45.62</v>
      </c>
      <c r="Q119" s="175">
        <f>ROUND(P119/O119%,1)</f>
        <v>100</v>
      </c>
      <c r="R119" s="176" t="s">
        <v>84</v>
      </c>
      <c r="S119" s="174">
        <f>H119</f>
        <v>3</v>
      </c>
      <c r="T119" s="155">
        <v>18.424</v>
      </c>
      <c r="U119" s="133">
        <v>856</v>
      </c>
      <c r="V119" s="173" t="s">
        <v>85</v>
      </c>
      <c r="W119" s="177">
        <f>ROUND(S119*U119*4/1000,5)</f>
        <v>10.272</v>
      </c>
      <c r="X119" s="135">
        <f>ROUND(O119*W119,3)</f>
        <v>468.609</v>
      </c>
      <c r="Y119" s="135">
        <f>ROUND(P119*W119,3)</f>
        <v>468.609</v>
      </c>
      <c r="Z119" s="137">
        <f>ROUND(X119/M119,4)</f>
        <v>1.034</v>
      </c>
      <c r="AA119" s="137">
        <f>ROUND(Y119/N119,4)</f>
        <v>1.034</v>
      </c>
      <c r="AB119" s="138">
        <f>X119-Y119</f>
        <v>0</v>
      </c>
    </row>
    <row r="120" spans="1:28" s="183" customFormat="1" ht="12.75">
      <c r="A120" s="179"/>
      <c r="B120" s="179" t="s">
        <v>86</v>
      </c>
      <c r="C120" s="180" t="s">
        <v>45</v>
      </c>
      <c r="D120" s="180" t="s">
        <v>45</v>
      </c>
      <c r="E120" s="180" t="s">
        <v>45</v>
      </c>
      <c r="F120" s="180" t="s">
        <v>45</v>
      </c>
      <c r="G120" s="180" t="s">
        <v>45</v>
      </c>
      <c r="H120" s="180" t="s">
        <v>45</v>
      </c>
      <c r="I120" s="180" t="s">
        <v>45</v>
      </c>
      <c r="J120" s="180" t="s">
        <v>45</v>
      </c>
      <c r="K120" s="180" t="s">
        <v>45</v>
      </c>
      <c r="L120" s="180" t="s">
        <v>45</v>
      </c>
      <c r="M120" s="181">
        <f>M96+M100+M106+M110+M115+M119</f>
        <v>42973.259000000005</v>
      </c>
      <c r="N120" s="181">
        <f>N96+N100+N106+N110+N115+N119</f>
        <v>43326.747</v>
      </c>
      <c r="O120" s="784" t="s">
        <v>45</v>
      </c>
      <c r="P120" s="784" t="s">
        <v>45</v>
      </c>
      <c r="Q120" s="180" t="s">
        <v>45</v>
      </c>
      <c r="R120" s="180" t="s">
        <v>45</v>
      </c>
      <c r="S120" s="180" t="s">
        <v>45</v>
      </c>
      <c r="T120" s="180" t="s">
        <v>45</v>
      </c>
      <c r="U120" s="180" t="s">
        <v>45</v>
      </c>
      <c r="V120" s="180" t="s">
        <v>45</v>
      </c>
      <c r="W120" s="182" t="s">
        <v>45</v>
      </c>
      <c r="X120" s="181">
        <f>X96+X100+X106+X110+X115+X119</f>
        <v>43342.20899999999</v>
      </c>
      <c r="Y120" s="181">
        <f>Y96+Y100+Y106+Y110+Y115+Y119</f>
        <v>42991.903999999995</v>
      </c>
      <c r="Z120" s="137">
        <f>ROUND(X120/M120,4)</f>
        <v>1.0086</v>
      </c>
      <c r="AA120" s="137">
        <f>ROUND(Y120/N120,4)</f>
        <v>0.9923</v>
      </c>
      <c r="AB120" s="815">
        <f>ROUND(X120-Y120,3)</f>
        <v>350.305</v>
      </c>
    </row>
    <row r="121" spans="1:28" s="189" customFormat="1" ht="38.25" customHeight="1">
      <c r="A121" s="184"/>
      <c r="B121" s="849" t="s">
        <v>87</v>
      </c>
      <c r="C121" s="849"/>
      <c r="D121" s="180" t="s">
        <v>45</v>
      </c>
      <c r="E121" s="180" t="s">
        <v>45</v>
      </c>
      <c r="F121" s="180" t="s">
        <v>45</v>
      </c>
      <c r="G121" s="180" t="s">
        <v>45</v>
      </c>
      <c r="H121" s="180" t="s">
        <v>45</v>
      </c>
      <c r="I121" s="180" t="s">
        <v>45</v>
      </c>
      <c r="J121" s="180" t="s">
        <v>45</v>
      </c>
      <c r="K121" s="180" t="s">
        <v>45</v>
      </c>
      <c r="L121" s="180" t="s">
        <v>45</v>
      </c>
      <c r="M121" s="180" t="s">
        <v>45</v>
      </c>
      <c r="N121" s="180" t="s">
        <v>45</v>
      </c>
      <c r="O121" s="784" t="s">
        <v>45</v>
      </c>
      <c r="P121" s="784" t="s">
        <v>45</v>
      </c>
      <c r="Q121" s="180" t="s">
        <v>45</v>
      </c>
      <c r="R121" s="180" t="s">
        <v>45</v>
      </c>
      <c r="S121" s="180" t="s">
        <v>45</v>
      </c>
      <c r="T121" s="180" t="s">
        <v>45</v>
      </c>
      <c r="U121" s="180" t="s">
        <v>45</v>
      </c>
      <c r="V121" s="180" t="s">
        <v>45</v>
      </c>
      <c r="W121" s="182" t="s">
        <v>45</v>
      </c>
      <c r="X121" s="180" t="s">
        <v>45</v>
      </c>
      <c r="Y121" s="185">
        <f>ROUND(N120*1.039,3)</f>
        <v>45016.49</v>
      </c>
      <c r="Z121" s="186" t="s">
        <v>45</v>
      </c>
      <c r="AA121" s="187">
        <f>ROUND(Y121/N120,4)</f>
        <v>1.039</v>
      </c>
      <c r="AB121" s="188">
        <f>ROUND(X120-Y121,3)</f>
        <v>-1674.281</v>
      </c>
    </row>
    <row r="122" spans="1:27" s="197" customFormat="1" ht="12.75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785"/>
      <c r="P122" s="785"/>
      <c r="Q122" s="193"/>
      <c r="R122" s="193"/>
      <c r="S122" s="194"/>
      <c r="T122" s="193"/>
      <c r="U122" s="193"/>
      <c r="V122" s="193"/>
      <c r="W122" s="195"/>
      <c r="X122" s="193"/>
      <c r="Y122" s="193"/>
      <c r="Z122" s="193"/>
      <c r="AA122" s="196"/>
    </row>
    <row r="123" spans="1:28" ht="12.75" customHeight="1">
      <c r="A123" s="198"/>
      <c r="B123" s="199"/>
      <c r="C123" s="199"/>
      <c r="D123" s="199"/>
      <c r="E123" s="199"/>
      <c r="F123" s="199"/>
      <c r="G123" s="199"/>
      <c r="H123" s="199"/>
      <c r="I123" s="200"/>
      <c r="J123" s="200"/>
      <c r="K123" s="201"/>
      <c r="L123" s="201"/>
      <c r="M123" s="201"/>
      <c r="N123" s="201"/>
      <c r="O123" s="786"/>
      <c r="P123" s="786"/>
      <c r="Q123" s="201"/>
      <c r="R123" s="201"/>
      <c r="S123" s="845" t="s">
        <v>96</v>
      </c>
      <c r="T123" s="845"/>
      <c r="U123" s="845"/>
      <c r="V123" s="845"/>
      <c r="W123" s="845"/>
      <c r="X123" s="845"/>
      <c r="Y123" s="845"/>
      <c r="Z123" s="202"/>
      <c r="AA123" s="203"/>
      <c r="AB123" s="204">
        <f>AB38+AB120</f>
        <v>5945.976000000001</v>
      </c>
    </row>
    <row r="124" spans="1:25" s="197" customFormat="1" ht="12.75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785"/>
      <c r="P124" s="785"/>
      <c r="Q124" s="193"/>
      <c r="R124" s="193"/>
      <c r="S124" s="193"/>
      <c r="T124" s="193"/>
      <c r="U124" s="193"/>
      <c r="V124" s="193"/>
      <c r="W124" s="195"/>
      <c r="X124" s="193"/>
      <c r="Y124" s="193"/>
    </row>
    <row r="125" spans="1:28" s="197" customFormat="1" ht="12.75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785"/>
      <c r="P125" s="785"/>
      <c r="Q125" s="193"/>
      <c r="R125" s="193"/>
      <c r="S125" s="193"/>
      <c r="T125" s="193"/>
      <c r="U125" s="193"/>
      <c r="W125" s="205"/>
      <c r="AB125" s="793">
        <f>AB37+AB120</f>
        <v>1779.596</v>
      </c>
    </row>
    <row r="126" spans="1:23" s="197" customFormat="1" ht="18.75">
      <c r="A126" s="193"/>
      <c r="B126" s="802" t="s">
        <v>422</v>
      </c>
      <c r="C126" s="803"/>
      <c r="D126" s="803" t="s">
        <v>423</v>
      </c>
      <c r="E126" s="809"/>
      <c r="F126" s="804"/>
      <c r="G126" s="193"/>
      <c r="H126" s="193"/>
      <c r="I126" s="193"/>
      <c r="J126" s="193"/>
      <c r="K126" s="193"/>
      <c r="L126" s="193"/>
      <c r="M126" s="193"/>
      <c r="N126" s="193"/>
      <c r="O126" s="785"/>
      <c r="P126" s="785"/>
      <c r="Q126" s="193"/>
      <c r="R126" s="193"/>
      <c r="S126" s="193"/>
      <c r="W126" s="205"/>
    </row>
    <row r="127" spans="1:28" s="197" customFormat="1" ht="18.75">
      <c r="A127" s="193"/>
      <c r="B127" s="802"/>
      <c r="C127" s="802"/>
      <c r="D127" s="802"/>
      <c r="E127" s="802"/>
      <c r="F127" s="804" t="s">
        <v>97</v>
      </c>
      <c r="G127" s="209"/>
      <c r="H127" s="193"/>
      <c r="I127" s="193"/>
      <c r="J127" s="193"/>
      <c r="K127" s="193"/>
      <c r="L127" s="193"/>
      <c r="M127" s="193"/>
      <c r="N127" s="193"/>
      <c r="O127" s="785"/>
      <c r="P127" s="785"/>
      <c r="Q127" s="193"/>
      <c r="R127" s="193"/>
      <c r="S127" s="193"/>
      <c r="W127" s="205"/>
      <c r="AB127" s="793"/>
    </row>
    <row r="128" spans="1:23" s="197" customFormat="1" ht="18.75">
      <c r="A128" s="193"/>
      <c r="B128" s="802" t="s">
        <v>98</v>
      </c>
      <c r="C128" s="803" t="s">
        <v>424</v>
      </c>
      <c r="D128" s="803"/>
      <c r="E128" s="803"/>
      <c r="F128" s="804"/>
      <c r="G128" s="193"/>
      <c r="H128" s="193"/>
      <c r="I128" s="193"/>
      <c r="J128" s="193"/>
      <c r="K128" s="193"/>
      <c r="L128" s="193"/>
      <c r="M128" s="193"/>
      <c r="N128" s="193"/>
      <c r="O128" s="785"/>
      <c r="P128" s="785"/>
      <c r="Q128" s="193"/>
      <c r="R128" s="193"/>
      <c r="S128" s="193"/>
      <c r="W128" s="205"/>
    </row>
    <row r="129" spans="1:23" s="197" customFormat="1" ht="18.75">
      <c r="A129" s="193"/>
      <c r="B129" s="802" t="s">
        <v>421</v>
      </c>
      <c r="C129" s="808" t="s">
        <v>425</v>
      </c>
      <c r="D129" s="807"/>
      <c r="E129" s="807"/>
      <c r="F129" s="804"/>
      <c r="G129" s="193"/>
      <c r="H129" s="193"/>
      <c r="I129" s="193"/>
      <c r="J129" s="193"/>
      <c r="K129" s="193"/>
      <c r="L129" s="193"/>
      <c r="M129" s="193"/>
      <c r="N129" s="193"/>
      <c r="O129" s="785"/>
      <c r="P129" s="785"/>
      <c r="Q129" s="193"/>
      <c r="R129" s="193"/>
      <c r="S129" s="193"/>
      <c r="W129" s="205"/>
    </row>
    <row r="130" spans="3:23" s="210" customFormat="1" ht="15.75">
      <c r="C130" s="193"/>
      <c r="D130" s="211"/>
      <c r="E130" s="211"/>
      <c r="F130" s="211"/>
      <c r="J130" s="199"/>
      <c r="O130" s="787"/>
      <c r="P130" s="787"/>
      <c r="Q130" s="1"/>
      <c r="T130" s="211"/>
      <c r="U130" s="211"/>
      <c r="V130" s="211"/>
      <c r="W130" s="212"/>
    </row>
    <row r="131" spans="2:23" s="210" customFormat="1" ht="15.75">
      <c r="B131" s="1"/>
      <c r="C131" s="193" t="s">
        <v>99</v>
      </c>
      <c r="J131" s="1"/>
      <c r="O131" s="787"/>
      <c r="P131" s="787"/>
      <c r="Q131" s="1"/>
      <c r="W131" s="213"/>
    </row>
  </sheetData>
  <sheetProtection selectLockedCells="1" selectUnlockedCells="1"/>
  <mergeCells count="47">
    <mergeCell ref="F6:F7"/>
    <mergeCell ref="G6:H6"/>
    <mergeCell ref="I6:I7"/>
    <mergeCell ref="J6:J7"/>
    <mergeCell ref="T6:T7"/>
    <mergeCell ref="U6:U7"/>
    <mergeCell ref="K6:L6"/>
    <mergeCell ref="M6:N6"/>
    <mergeCell ref="O6:O7"/>
    <mergeCell ref="P6:P7"/>
    <mergeCell ref="Z5:AA6"/>
    <mergeCell ref="AB5:AB7"/>
    <mergeCell ref="D6:D7"/>
    <mergeCell ref="E6:E7"/>
    <mergeCell ref="C3:AB3"/>
    <mergeCell ref="A5:A8"/>
    <mergeCell ref="B5:B8"/>
    <mergeCell ref="C5:C8"/>
    <mergeCell ref="D5:N5"/>
    <mergeCell ref="O5:Y5"/>
    <mergeCell ref="B12:D12"/>
    <mergeCell ref="B17:C17"/>
    <mergeCell ref="B23:C23"/>
    <mergeCell ref="B27:C27"/>
    <mergeCell ref="V6:W6"/>
    <mergeCell ref="X6:Y6"/>
    <mergeCell ref="B10:AB10"/>
    <mergeCell ref="B11:AB11"/>
    <mergeCell ref="Q6:Q7"/>
    <mergeCell ref="R6:S6"/>
    <mergeCell ref="B55:C55"/>
    <mergeCell ref="B66:C66"/>
    <mergeCell ref="B68:D68"/>
    <mergeCell ref="B73:C73"/>
    <mergeCell ref="B38:C38"/>
    <mergeCell ref="B40:D40"/>
    <mergeCell ref="B45:C45"/>
    <mergeCell ref="B51:C51"/>
    <mergeCell ref="S123:Y123"/>
    <mergeCell ref="B100:C100"/>
    <mergeCell ref="B106:C106"/>
    <mergeCell ref="B110:C110"/>
    <mergeCell ref="B121:C121"/>
    <mergeCell ref="B79:C79"/>
    <mergeCell ref="B83:C83"/>
    <mergeCell ref="B94:C94"/>
    <mergeCell ref="B95:D95"/>
  </mergeCells>
  <printOptions/>
  <pageMargins left="0" right="0" top="0.39375" bottom="0.19652777777777777" header="0.5118055555555555" footer="0.5118055555555555"/>
  <pageSetup horizontalDpi="300" verticalDpi="300" orientation="landscape" paperSize="9" scale="40" r:id="rId1"/>
  <rowBreaks count="4" manualBreakCount="4">
    <brk id="38" max="27" man="1"/>
    <brk id="67" max="255" man="1"/>
    <brk id="94" max="255" man="1"/>
    <brk id="1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X121"/>
  <sheetViews>
    <sheetView zoomScale="70" zoomScaleNormal="70" zoomScaleSheetLayoutView="86" zoomScalePageLayoutView="0" workbookViewId="0" topLeftCell="A1">
      <selection activeCell="J111" sqref="J111"/>
    </sheetView>
  </sheetViews>
  <sheetFormatPr defaultColWidth="9.00390625" defaultRowHeight="12.75"/>
  <cols>
    <col min="1" max="1" width="4.25390625" style="490" customWidth="1"/>
    <col min="2" max="2" width="20.875" style="490" customWidth="1"/>
    <col min="3" max="3" width="21.00390625" style="490" customWidth="1"/>
    <col min="4" max="4" width="14.125" style="490" customWidth="1"/>
    <col min="5" max="5" width="15.125" style="490" customWidth="1"/>
    <col min="6" max="6" width="9.625" style="490" customWidth="1"/>
    <col min="7" max="7" width="18.00390625" style="420" customWidth="1"/>
    <col min="8" max="8" width="16.125" style="420" customWidth="1"/>
    <col min="9" max="9" width="18.125" style="420" customWidth="1"/>
    <col min="10" max="10" width="14.875" style="420" customWidth="1"/>
    <col min="11" max="11" width="14.125" style="420" customWidth="1"/>
    <col min="12" max="12" width="8.625" style="420" customWidth="1"/>
    <col min="13" max="13" width="18.25390625" style="420" customWidth="1"/>
    <col min="14" max="14" width="15.125" style="420" customWidth="1"/>
    <col min="15" max="15" width="16.375" style="420" customWidth="1"/>
    <col min="16" max="17" width="9.00390625" style="420" customWidth="1"/>
    <col min="18" max="18" width="9.625" style="420" customWidth="1"/>
    <col min="19" max="19" width="6.00390625" style="420" customWidth="1"/>
    <col min="20" max="20" width="13.875" style="420" customWidth="1"/>
    <col min="21" max="21" width="12.75390625" style="420" customWidth="1"/>
    <col min="22" max="22" width="11.625" style="420" customWidth="1"/>
    <col min="23" max="16384" width="9.125" style="420" customWidth="1"/>
  </cols>
  <sheetData>
    <row r="1" spans="15:21" ht="15">
      <c r="O1" s="491" t="s">
        <v>256</v>
      </c>
      <c r="R1" s="947"/>
      <c r="S1" s="947"/>
      <c r="U1" s="491"/>
    </row>
    <row r="2" spans="2:24" s="492" customFormat="1" ht="27.75" customHeight="1">
      <c r="B2" s="948" t="s">
        <v>448</v>
      </c>
      <c r="C2" s="948"/>
      <c r="D2" s="948"/>
      <c r="E2" s="948"/>
      <c r="F2" s="948"/>
      <c r="G2" s="948"/>
      <c r="H2" s="948"/>
      <c r="I2" s="948"/>
      <c r="J2" s="948"/>
      <c r="K2" s="948"/>
      <c r="L2" s="948"/>
      <c r="M2" s="948"/>
      <c r="N2" s="948"/>
      <c r="O2" s="948"/>
      <c r="P2" s="493"/>
      <c r="Q2" s="493"/>
      <c r="R2" s="493"/>
      <c r="S2" s="493"/>
      <c r="T2" s="493"/>
      <c r="U2" s="493"/>
      <c r="V2" s="493"/>
      <c r="W2" s="493"/>
      <c r="X2" s="493"/>
    </row>
    <row r="3" spans="2:24" s="494" customFormat="1" ht="25.5" customHeight="1">
      <c r="B3" s="949" t="s">
        <v>213</v>
      </c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495"/>
      <c r="Q3" s="495"/>
      <c r="R3" s="495"/>
      <c r="S3" s="495"/>
      <c r="T3" s="495"/>
      <c r="U3" s="495"/>
      <c r="V3" s="495"/>
      <c r="W3" s="495"/>
      <c r="X3" s="495"/>
    </row>
    <row r="4" spans="1:15" s="208" customFormat="1" ht="15.75" customHeight="1">
      <c r="A4" s="274"/>
      <c r="B4" s="904" t="s">
        <v>136</v>
      </c>
      <c r="C4" s="904"/>
      <c r="D4" s="274"/>
      <c r="E4" s="274"/>
      <c r="F4" s="221"/>
      <c r="G4" s="222"/>
      <c r="H4" s="222"/>
      <c r="I4" s="222"/>
      <c r="J4" s="222"/>
      <c r="K4" s="222"/>
      <c r="L4" s="222"/>
      <c r="M4" s="274"/>
      <c r="N4" s="274"/>
      <c r="O4" s="274"/>
    </row>
    <row r="5" spans="1:15" s="208" customFormat="1" ht="15.75">
      <c r="A5" s="274"/>
      <c r="B5" s="275" t="s">
        <v>132</v>
      </c>
      <c r="C5" s="275"/>
      <c r="D5" s="274"/>
      <c r="E5" s="274"/>
      <c r="F5" s="221"/>
      <c r="G5" s="222"/>
      <c r="H5" s="222"/>
      <c r="I5" s="222"/>
      <c r="J5" s="222"/>
      <c r="K5" s="222"/>
      <c r="L5" s="222"/>
      <c r="M5" s="274"/>
      <c r="N5" s="274"/>
      <c r="O5" s="274"/>
    </row>
    <row r="6" spans="1:21" ht="15" customHeight="1">
      <c r="A6" s="418"/>
      <c r="B6" s="945" t="s">
        <v>257</v>
      </c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419"/>
      <c r="O6" s="419"/>
      <c r="P6" s="418"/>
      <c r="Q6" s="418"/>
      <c r="R6" s="418"/>
      <c r="S6" s="418"/>
      <c r="T6" s="418"/>
      <c r="U6" s="418"/>
    </row>
    <row r="7" spans="1:21" ht="11.25" customHeight="1">
      <c r="A7" s="420"/>
      <c r="B7" s="420"/>
      <c r="C7" s="420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496"/>
      <c r="U7" s="496"/>
    </row>
    <row r="8" spans="1:15" ht="34.5" customHeight="1">
      <c r="A8" s="940" t="s">
        <v>105</v>
      </c>
      <c r="B8" s="941" t="s">
        <v>258</v>
      </c>
      <c r="C8" s="940" t="s">
        <v>107</v>
      </c>
      <c r="D8" s="942" t="s">
        <v>259</v>
      </c>
      <c r="E8" s="942"/>
      <c r="F8" s="942"/>
      <c r="G8" s="942"/>
      <c r="H8" s="942"/>
      <c r="I8" s="942"/>
      <c r="J8" s="946" t="s">
        <v>438</v>
      </c>
      <c r="K8" s="946"/>
      <c r="L8" s="946"/>
      <c r="M8" s="946"/>
      <c r="N8" s="946"/>
      <c r="O8" s="946"/>
    </row>
    <row r="9" spans="1:15" ht="61.5" customHeight="1">
      <c r="A9" s="940"/>
      <c r="B9" s="941"/>
      <c r="C9" s="941"/>
      <c r="D9" s="936" t="s">
        <v>260</v>
      </c>
      <c r="E9" s="937" t="s">
        <v>139</v>
      </c>
      <c r="F9" s="938" t="s">
        <v>140</v>
      </c>
      <c r="G9" s="944" t="s">
        <v>261</v>
      </c>
      <c r="H9" s="934" t="s">
        <v>15</v>
      </c>
      <c r="I9" s="934"/>
      <c r="J9" s="936" t="s">
        <v>262</v>
      </c>
      <c r="K9" s="937" t="s">
        <v>143</v>
      </c>
      <c r="L9" s="938" t="s">
        <v>263</v>
      </c>
      <c r="M9" s="933" t="s">
        <v>264</v>
      </c>
      <c r="N9" s="934" t="s">
        <v>15</v>
      </c>
      <c r="O9" s="934"/>
    </row>
    <row r="10" spans="1:15" ht="141.75" customHeight="1">
      <c r="A10" s="940"/>
      <c r="B10" s="941"/>
      <c r="C10" s="940"/>
      <c r="D10" s="936"/>
      <c r="E10" s="937"/>
      <c r="F10" s="938"/>
      <c r="G10" s="944"/>
      <c r="H10" s="497" t="s">
        <v>265</v>
      </c>
      <c r="I10" s="498" t="s">
        <v>266</v>
      </c>
      <c r="J10" s="936"/>
      <c r="K10" s="937"/>
      <c r="L10" s="938"/>
      <c r="M10" s="933"/>
      <c r="N10" s="497" t="s">
        <v>267</v>
      </c>
      <c r="O10" s="499" t="s">
        <v>268</v>
      </c>
    </row>
    <row r="11" spans="1:15" s="491" customFormat="1" ht="15">
      <c r="A11" s="500">
        <v>1</v>
      </c>
      <c r="B11" s="501">
        <f aca="true" t="shared" si="0" ref="B11:O11">A11+1</f>
        <v>2</v>
      </c>
      <c r="C11" s="501">
        <f t="shared" si="0"/>
        <v>3</v>
      </c>
      <c r="D11" s="501">
        <f t="shared" si="0"/>
        <v>4</v>
      </c>
      <c r="E11" s="501">
        <f t="shared" si="0"/>
        <v>5</v>
      </c>
      <c r="F11" s="501">
        <f t="shared" si="0"/>
        <v>6</v>
      </c>
      <c r="G11" s="500">
        <f t="shared" si="0"/>
        <v>7</v>
      </c>
      <c r="H11" s="500">
        <f t="shared" si="0"/>
        <v>8</v>
      </c>
      <c r="I11" s="500">
        <f t="shared" si="0"/>
        <v>9</v>
      </c>
      <c r="J11" s="501">
        <f t="shared" si="0"/>
        <v>10</v>
      </c>
      <c r="K11" s="501">
        <f t="shared" si="0"/>
        <v>11</v>
      </c>
      <c r="L11" s="501">
        <f t="shared" si="0"/>
        <v>12</v>
      </c>
      <c r="M11" s="500">
        <f t="shared" si="0"/>
        <v>13</v>
      </c>
      <c r="N11" s="500">
        <f t="shared" si="0"/>
        <v>14</v>
      </c>
      <c r="O11" s="500">
        <f t="shared" si="0"/>
        <v>15</v>
      </c>
    </row>
    <row r="12" spans="1:15" s="491" customFormat="1" ht="23.25" customHeight="1">
      <c r="A12" s="501">
        <v>1</v>
      </c>
      <c r="B12" s="501" t="str">
        <f>'норм. ХВС для ЦО (4-1) '!B13</f>
        <v>п.Рассвет</v>
      </c>
      <c r="C12" s="501" t="str">
        <f>'норм. ХВС для ЦО (4-1) '!C13</f>
        <v>ООО «Жилбытсервис»</v>
      </c>
      <c r="D12" s="502">
        <v>50.09</v>
      </c>
      <c r="E12" s="502">
        <f>D12</f>
        <v>50.09</v>
      </c>
      <c r="F12" s="503">
        <f>ROUND(E12/D12*100,1)</f>
        <v>100</v>
      </c>
      <c r="G12" s="504">
        <f>'норм. ХВС для ЦО (4-1) '!J13</f>
        <v>0.6541</v>
      </c>
      <c r="H12" s="505">
        <f>ROUND(D12*G12,3)</f>
        <v>32.764</v>
      </c>
      <c r="I12" s="505">
        <f>ROUND(E12*G12,3)</f>
        <v>32.764</v>
      </c>
      <c r="J12" s="502">
        <f>D12</f>
        <v>50.09</v>
      </c>
      <c r="K12" s="502">
        <f>E12</f>
        <v>50.09</v>
      </c>
      <c r="L12" s="503">
        <f>ROUND(K12/J12*100,1)</f>
        <v>100</v>
      </c>
      <c r="M12" s="504">
        <f>'норм. ХВС для ЦО (4-1) '!O13</f>
        <v>0.6541</v>
      </c>
      <c r="N12" s="505">
        <f>ROUND(J12*M12,3)</f>
        <v>32.764</v>
      </c>
      <c r="O12" s="505">
        <f>ROUND(K12*M12,3)</f>
        <v>32.764</v>
      </c>
    </row>
    <row r="13" spans="1:15" s="491" customFormat="1" ht="24" customHeight="1">
      <c r="A13" s="501">
        <v>2</v>
      </c>
      <c r="B13" s="501"/>
      <c r="C13" s="501"/>
      <c r="D13" s="502">
        <v>50.09</v>
      </c>
      <c r="E13" s="502">
        <f>D13</f>
        <v>50.09</v>
      </c>
      <c r="F13" s="503">
        <f>ROUND(E13/D13*100,1)</f>
        <v>100</v>
      </c>
      <c r="G13" s="504">
        <f>'норм. ХВС для ЦО (4-1) '!J14</f>
        <v>0.0131</v>
      </c>
      <c r="H13" s="505">
        <f>ROUND(D13*G13,3)</f>
        <v>0.656</v>
      </c>
      <c r="I13" s="505">
        <f>ROUND(E13*G13,3)</f>
        <v>0.656</v>
      </c>
      <c r="J13" s="502">
        <f>D13</f>
        <v>50.09</v>
      </c>
      <c r="K13" s="502">
        <f>E13</f>
        <v>50.09</v>
      </c>
      <c r="L13" s="503">
        <f>ROUND(K13/J13*100,1)</f>
        <v>100</v>
      </c>
      <c r="M13" s="504">
        <f>'норм. ХВС для ЦО (4-1) '!O14</f>
        <v>0.0131</v>
      </c>
      <c r="N13" s="505">
        <f>ROUND(J13*M13,3)</f>
        <v>0.656</v>
      </c>
      <c r="O13" s="505">
        <f>ROUND(K13*M13,3)</f>
        <v>0.656</v>
      </c>
    </row>
    <row r="14" spans="1:15" ht="15">
      <c r="A14" s="798">
        <v>3</v>
      </c>
      <c r="B14" s="501"/>
      <c r="C14" s="501"/>
      <c r="D14" s="502">
        <v>50.09</v>
      </c>
      <c r="E14" s="502">
        <f>D14</f>
        <v>50.09</v>
      </c>
      <c r="F14" s="503">
        <f>ROUND(E14/D14*100,1)</f>
        <v>100</v>
      </c>
      <c r="G14" s="504">
        <f>'норм. ХВС для ЦО (4-1) '!J18</f>
        <v>303.14375</v>
      </c>
      <c r="H14" s="505">
        <f>ROUND(D14*G14,3)</f>
        <v>15184.47</v>
      </c>
      <c r="I14" s="505">
        <f>ROUND(E14*G14,3)</f>
        <v>15184.47</v>
      </c>
      <c r="J14" s="502">
        <f>D14</f>
        <v>50.09</v>
      </c>
      <c r="K14" s="502">
        <f>J14</f>
        <v>50.09</v>
      </c>
      <c r="L14" s="503">
        <f>ROUND(K14/J14*100,1)</f>
        <v>100</v>
      </c>
      <c r="M14" s="504">
        <f>'норм. ХВС для ЦО (4-1) '!O18</f>
        <v>303.14375</v>
      </c>
      <c r="N14" s="505">
        <f>ROUND(J14*M14,3)</f>
        <v>15184.47</v>
      </c>
      <c r="O14" s="505">
        <f>ROUND(K14*M14,3)</f>
        <v>15184.47</v>
      </c>
    </row>
    <row r="15" spans="1:15" ht="15">
      <c r="A15" s="507"/>
      <c r="B15" s="501"/>
      <c r="C15" s="501"/>
      <c r="D15" s="508"/>
      <c r="E15" s="502"/>
      <c r="F15" s="503"/>
      <c r="G15" s="504"/>
      <c r="H15" s="505"/>
      <c r="I15" s="505"/>
      <c r="J15" s="508"/>
      <c r="K15" s="502"/>
      <c r="L15" s="503"/>
      <c r="M15" s="504"/>
      <c r="N15" s="505"/>
      <c r="O15" s="505"/>
    </row>
    <row r="16" spans="1:15" s="512" customFormat="1" ht="29.25" customHeight="1">
      <c r="A16" s="509"/>
      <c r="B16" s="935" t="s">
        <v>246</v>
      </c>
      <c r="C16" s="935"/>
      <c r="D16" s="510">
        <f>ROUND(H16/G16,6)</f>
        <v>50.089998</v>
      </c>
      <c r="E16" s="510">
        <f>ROUND(I16/G16,6)</f>
        <v>50.089998</v>
      </c>
      <c r="F16" s="503">
        <f>ROUND(E16/D16*100,1)</f>
        <v>100</v>
      </c>
      <c r="G16" s="511">
        <f>SUM(G12:G15)</f>
        <v>303.81095</v>
      </c>
      <c r="H16" s="511">
        <f>SUM(H12:H15)</f>
        <v>15217.89</v>
      </c>
      <c r="I16" s="511">
        <f>SUM(I12:I15)</f>
        <v>15217.89</v>
      </c>
      <c r="J16" s="510">
        <f>ROUND(N16/M16,6)</f>
        <v>50.089998</v>
      </c>
      <c r="K16" s="510">
        <f>ROUND(O16/M16,6)</f>
        <v>50.089998</v>
      </c>
      <c r="L16" s="503">
        <f>ROUND(K16/J16*100,1)</f>
        <v>100</v>
      </c>
      <c r="M16" s="511">
        <f>SUM(M12:M15)</f>
        <v>303.81095</v>
      </c>
      <c r="N16" s="511">
        <f>SUM(N12:N15)</f>
        <v>15217.89</v>
      </c>
      <c r="O16" s="511">
        <f>SUM(O12:O15)</f>
        <v>15217.89</v>
      </c>
    </row>
    <row r="17" spans="1:12" ht="75">
      <c r="A17" s="513"/>
      <c r="C17" s="514" t="s">
        <v>269</v>
      </c>
      <c r="D17" s="515" t="s">
        <v>270</v>
      </c>
      <c r="E17" s="515" t="s">
        <v>271</v>
      </c>
      <c r="F17" s="516"/>
      <c r="J17" s="515" t="s">
        <v>272</v>
      </c>
      <c r="K17" s="515" t="s">
        <v>273</v>
      </c>
      <c r="L17" s="516"/>
    </row>
    <row r="18" spans="1:18" ht="15">
      <c r="A18" s="513"/>
      <c r="C18" s="514"/>
      <c r="D18" s="517"/>
      <c r="E18" s="517"/>
      <c r="F18" s="516"/>
      <c r="P18" s="517"/>
      <c r="Q18" s="517"/>
      <c r="R18" s="517"/>
    </row>
    <row r="19" spans="1:21" ht="15" customHeight="1">
      <c r="A19" s="418"/>
      <c r="B19" s="518" t="s">
        <v>247</v>
      </c>
      <c r="C19" s="418"/>
      <c r="D19" s="418"/>
      <c r="E19" s="418"/>
      <c r="F19" s="519"/>
      <c r="G19" s="419"/>
      <c r="H19" s="419"/>
      <c r="I19" s="419"/>
      <c r="J19" s="419"/>
      <c r="K19" s="419"/>
      <c r="L19" s="419"/>
      <c r="M19" s="419"/>
      <c r="N19" s="419"/>
      <c r="O19" s="419"/>
      <c r="P19" s="418"/>
      <c r="Q19" s="418"/>
      <c r="R19" s="418"/>
      <c r="S19" s="418"/>
      <c r="T19" s="418"/>
      <c r="U19" s="418"/>
    </row>
    <row r="20" spans="1:21" ht="11.25" customHeight="1">
      <c r="A20" s="420"/>
      <c r="B20" s="420"/>
      <c r="C20" s="420"/>
      <c r="D20" s="939"/>
      <c r="E20" s="939"/>
      <c r="F20" s="939"/>
      <c r="G20" s="939"/>
      <c r="H20" s="939"/>
      <c r="I20" s="939"/>
      <c r="J20" s="939"/>
      <c r="K20" s="939"/>
      <c r="L20" s="939"/>
      <c r="M20" s="939"/>
      <c r="N20" s="939"/>
      <c r="O20" s="939"/>
      <c r="P20" s="939"/>
      <c r="Q20" s="939"/>
      <c r="R20" s="939"/>
      <c r="S20" s="939"/>
      <c r="T20" s="496"/>
      <c r="U20" s="496"/>
    </row>
    <row r="21" spans="1:15" ht="34.5" customHeight="1">
      <c r="A21" s="940" t="s">
        <v>105</v>
      </c>
      <c r="B21" s="941" t="s">
        <v>258</v>
      </c>
      <c r="C21" s="940" t="s">
        <v>107</v>
      </c>
      <c r="D21" s="942" t="s">
        <v>259</v>
      </c>
      <c r="E21" s="942"/>
      <c r="F21" s="942"/>
      <c r="G21" s="942"/>
      <c r="H21" s="942"/>
      <c r="I21" s="942"/>
      <c r="J21" s="946" t="s">
        <v>438</v>
      </c>
      <c r="K21" s="946"/>
      <c r="L21" s="946"/>
      <c r="M21" s="946"/>
      <c r="N21" s="946"/>
      <c r="O21" s="946"/>
    </row>
    <row r="22" spans="1:15" ht="58.5" customHeight="1">
      <c r="A22" s="940"/>
      <c r="B22" s="941"/>
      <c r="C22" s="941"/>
      <c r="D22" s="936" t="s">
        <v>260</v>
      </c>
      <c r="E22" s="937" t="s">
        <v>139</v>
      </c>
      <c r="F22" s="938" t="s">
        <v>140</v>
      </c>
      <c r="G22" s="933" t="s">
        <v>274</v>
      </c>
      <c r="H22" s="934" t="s">
        <v>15</v>
      </c>
      <c r="I22" s="934"/>
      <c r="J22" s="936" t="s">
        <v>262</v>
      </c>
      <c r="K22" s="937" t="s">
        <v>143</v>
      </c>
      <c r="L22" s="938" t="s">
        <v>263</v>
      </c>
      <c r="M22" s="933" t="s">
        <v>275</v>
      </c>
      <c r="N22" s="934" t="s">
        <v>15</v>
      </c>
      <c r="O22" s="934"/>
    </row>
    <row r="23" spans="1:15" ht="141.75" customHeight="1">
      <c r="A23" s="940"/>
      <c r="B23" s="941"/>
      <c r="C23" s="940"/>
      <c r="D23" s="936"/>
      <c r="E23" s="937"/>
      <c r="F23" s="938"/>
      <c r="G23" s="933"/>
      <c r="H23" s="497" t="s">
        <v>265</v>
      </c>
      <c r="I23" s="498" t="s">
        <v>266</v>
      </c>
      <c r="J23" s="936"/>
      <c r="K23" s="937"/>
      <c r="L23" s="938"/>
      <c r="M23" s="933"/>
      <c r="N23" s="497" t="s">
        <v>267</v>
      </c>
      <c r="O23" s="497" t="s">
        <v>276</v>
      </c>
    </row>
    <row r="24" spans="1:15" s="491" customFormat="1" ht="15">
      <c r="A24" s="500">
        <v>1</v>
      </c>
      <c r="B24" s="501">
        <f aca="true" t="shared" si="1" ref="B24:O24">A24+1</f>
        <v>2</v>
      </c>
      <c r="C24" s="501">
        <f t="shared" si="1"/>
        <v>3</v>
      </c>
      <c r="D24" s="501">
        <f t="shared" si="1"/>
        <v>4</v>
      </c>
      <c r="E24" s="501">
        <f t="shared" si="1"/>
        <v>5</v>
      </c>
      <c r="F24" s="501">
        <f t="shared" si="1"/>
        <v>6</v>
      </c>
      <c r="G24" s="500">
        <f t="shared" si="1"/>
        <v>7</v>
      </c>
      <c r="H24" s="500">
        <f t="shared" si="1"/>
        <v>8</v>
      </c>
      <c r="I24" s="500">
        <f t="shared" si="1"/>
        <v>9</v>
      </c>
      <c r="J24" s="501">
        <f t="shared" si="1"/>
        <v>10</v>
      </c>
      <c r="K24" s="501">
        <f t="shared" si="1"/>
        <v>11</v>
      </c>
      <c r="L24" s="501">
        <f t="shared" si="1"/>
        <v>12</v>
      </c>
      <c r="M24" s="500">
        <f t="shared" si="1"/>
        <v>13</v>
      </c>
      <c r="N24" s="500">
        <f t="shared" si="1"/>
        <v>14</v>
      </c>
      <c r="O24" s="500">
        <f t="shared" si="1"/>
        <v>15</v>
      </c>
    </row>
    <row r="25" spans="1:15" s="491" customFormat="1" ht="27" customHeight="1">
      <c r="A25" s="501">
        <v>1</v>
      </c>
      <c r="B25" s="501">
        <f>'норм. ХВС для ЦО (4-1) '!B30</f>
        <v>0</v>
      </c>
      <c r="C25" s="501">
        <f>'норм. ХВС для ЦО (4-1) '!C30</f>
        <v>0</v>
      </c>
      <c r="D25" s="502"/>
      <c r="E25" s="502"/>
      <c r="F25" s="503" t="e">
        <f>ROUND(E25/D25*100,1)</f>
        <v>#DIV/0!</v>
      </c>
      <c r="G25" s="504">
        <f>'норм. ХВС для ЦО (4-1) '!J30</f>
        <v>0</v>
      </c>
      <c r="H25" s="505">
        <f>ROUND(D25*G25,3)</f>
        <v>0</v>
      </c>
      <c r="I25" s="505">
        <f>ROUND(E25*G25,3)</f>
        <v>0</v>
      </c>
      <c r="J25" s="502"/>
      <c r="K25" s="502"/>
      <c r="L25" s="503" t="e">
        <f>ROUND(K25/J25*100,1)</f>
        <v>#DIV/0!</v>
      </c>
      <c r="M25" s="504">
        <f>'норм. ХВС для ЦО (4-1) '!O30</f>
        <v>0</v>
      </c>
      <c r="N25" s="505">
        <f>ROUND(J25*M25,3)</f>
        <v>0</v>
      </c>
      <c r="O25" s="505">
        <f>ROUND(K25*M25,3)</f>
        <v>0</v>
      </c>
    </row>
    <row r="26" spans="1:15" s="491" customFormat="1" ht="15">
      <c r="A26" s="501"/>
      <c r="B26" s="501">
        <f>'норм. ХВС для ЦО (4-1) '!B31</f>
        <v>0</v>
      </c>
      <c r="C26" s="501">
        <f>'норм. ХВС для ЦО (4-1) '!C31</f>
        <v>0</v>
      </c>
      <c r="D26" s="502"/>
      <c r="E26" s="502"/>
      <c r="F26" s="503" t="e">
        <f>ROUND(E26/D26*100,1)</f>
        <v>#DIV/0!</v>
      </c>
      <c r="G26" s="504">
        <f>'норм. ХВС для ЦО (4-1) '!J31</f>
        <v>0</v>
      </c>
      <c r="H26" s="505">
        <f>ROUND(D26*G26,3)</f>
        <v>0</v>
      </c>
      <c r="I26" s="505">
        <f>ROUND(E26*G26,3)</f>
        <v>0</v>
      </c>
      <c r="J26" s="502"/>
      <c r="K26" s="502"/>
      <c r="L26" s="503" t="e">
        <f>ROUND(K26/J26*100,1)</f>
        <v>#DIV/0!</v>
      </c>
      <c r="M26" s="504">
        <f>'норм. ХВС для ЦО (4-1) '!O31</f>
        <v>0</v>
      </c>
      <c r="N26" s="505">
        <f>ROUND(J26*M26,3)</f>
        <v>0</v>
      </c>
      <c r="O26" s="505">
        <f>ROUND(K26*M26,3)</f>
        <v>0</v>
      </c>
    </row>
    <row r="27" spans="1:15" ht="15">
      <c r="A27" s="506"/>
      <c r="B27" s="501">
        <f>'норм. ХВС для ЦО (4-1) '!B32</f>
        <v>0</v>
      </c>
      <c r="C27" s="501">
        <f>'норм. ХВС для ЦО (4-1) '!C34</f>
        <v>0</v>
      </c>
      <c r="D27" s="520"/>
      <c r="E27" s="502"/>
      <c r="F27" s="503"/>
      <c r="G27" s="504">
        <f>'норм. ХВС для ЦО (4-1) '!J32</f>
        <v>0</v>
      </c>
      <c r="H27" s="505"/>
      <c r="I27" s="505"/>
      <c r="J27" s="520"/>
      <c r="K27" s="502"/>
      <c r="L27" s="503"/>
      <c r="M27" s="504"/>
      <c r="N27" s="505">
        <f>ROUND(J27*M27,3)</f>
        <v>0</v>
      </c>
      <c r="O27" s="505">
        <f>ROUND(K27*M27,3)</f>
        <v>0</v>
      </c>
    </row>
    <row r="28" spans="1:15" ht="15">
      <c r="A28" s="507"/>
      <c r="B28" s="501"/>
      <c r="C28" s="501"/>
      <c r="D28" s="508"/>
      <c r="E28" s="502"/>
      <c r="F28" s="503"/>
      <c r="G28" s="504"/>
      <c r="H28" s="505"/>
      <c r="I28" s="505"/>
      <c r="J28" s="508"/>
      <c r="K28" s="502"/>
      <c r="L28" s="503"/>
      <c r="M28" s="504"/>
      <c r="N28" s="505"/>
      <c r="O28" s="505"/>
    </row>
    <row r="29" spans="1:15" s="512" customFormat="1" ht="36.75" customHeight="1">
      <c r="A29" s="509"/>
      <c r="B29" s="935" t="s">
        <v>246</v>
      </c>
      <c r="C29" s="935"/>
      <c r="D29" s="510" t="e">
        <f>ROUND(H29/G29,6)</f>
        <v>#DIV/0!</v>
      </c>
      <c r="E29" s="510" t="e">
        <f>ROUND(I29/G29,6)</f>
        <v>#DIV/0!</v>
      </c>
      <c r="F29" s="503" t="e">
        <f>ROUND(E29/D29*100,1)</f>
        <v>#DIV/0!</v>
      </c>
      <c r="G29" s="511">
        <f>SUM(G25:G28)</f>
        <v>0</v>
      </c>
      <c r="H29" s="511">
        <f>SUM(H25:H28)</f>
        <v>0</v>
      </c>
      <c r="I29" s="511">
        <f>SUM(I25:I28)</f>
        <v>0</v>
      </c>
      <c r="J29" s="510" t="e">
        <f>ROUND(N29/M29,6)</f>
        <v>#DIV/0!</v>
      </c>
      <c r="K29" s="510" t="e">
        <f>ROUND(O29/M29,6)</f>
        <v>#DIV/0!</v>
      </c>
      <c r="L29" s="503" t="e">
        <f>ROUND(K29/J29*100,1)</f>
        <v>#DIV/0!</v>
      </c>
      <c r="M29" s="511">
        <f>SUM(M25:M28)</f>
        <v>0</v>
      </c>
      <c r="N29" s="511">
        <f>SUM(N25:N28)</f>
        <v>0</v>
      </c>
      <c r="O29" s="511">
        <f>SUM(O25:O28)</f>
        <v>0</v>
      </c>
    </row>
    <row r="30" spans="1:12" ht="75">
      <c r="A30" s="513"/>
      <c r="C30" s="514" t="s">
        <v>269</v>
      </c>
      <c r="D30" s="515" t="s">
        <v>270</v>
      </c>
      <c r="E30" s="515" t="s">
        <v>271</v>
      </c>
      <c r="F30" s="516"/>
      <c r="J30" s="515" t="s">
        <v>272</v>
      </c>
      <c r="K30" s="515" t="s">
        <v>273</v>
      </c>
      <c r="L30" s="516"/>
    </row>
    <row r="31" spans="1:18" ht="15">
      <c r="A31" s="513"/>
      <c r="C31" s="514"/>
      <c r="D31" s="517"/>
      <c r="E31" s="517"/>
      <c r="F31" s="516"/>
      <c r="P31" s="517"/>
      <c r="Q31" s="517"/>
      <c r="R31" s="517"/>
    </row>
    <row r="32" spans="1:15" s="208" customFormat="1" ht="15.75" customHeight="1">
      <c r="A32" s="274"/>
      <c r="B32" s="904" t="s">
        <v>136</v>
      </c>
      <c r="C32" s="904"/>
      <c r="D32" s="274"/>
      <c r="E32" s="274"/>
      <c r="F32" s="221"/>
      <c r="G32" s="222"/>
      <c r="H32" s="222"/>
      <c r="I32" s="222"/>
      <c r="J32" s="222"/>
      <c r="K32" s="222"/>
      <c r="L32" s="222"/>
      <c r="M32" s="274"/>
      <c r="N32" s="274"/>
      <c r="O32" s="274"/>
    </row>
    <row r="33" spans="1:15" s="208" customFormat="1" ht="15.75">
      <c r="A33" s="274"/>
      <c r="B33" s="275" t="s">
        <v>128</v>
      </c>
      <c r="C33" s="275"/>
      <c r="D33" s="274"/>
      <c r="E33" s="274"/>
      <c r="F33" s="221"/>
      <c r="G33" s="222"/>
      <c r="H33" s="222"/>
      <c r="I33" s="222"/>
      <c r="J33" s="222"/>
      <c r="K33" s="222"/>
      <c r="L33" s="222"/>
      <c r="M33" s="274"/>
      <c r="N33" s="274"/>
      <c r="O33" s="274"/>
    </row>
    <row r="34" spans="1:21" ht="15" customHeight="1">
      <c r="A34" s="418"/>
      <c r="B34" s="945" t="s">
        <v>257</v>
      </c>
      <c r="C34" s="945"/>
      <c r="D34" s="945"/>
      <c r="E34" s="945"/>
      <c r="F34" s="945"/>
      <c r="G34" s="945"/>
      <c r="H34" s="945"/>
      <c r="I34" s="945"/>
      <c r="J34" s="945"/>
      <c r="K34" s="945"/>
      <c r="L34" s="945"/>
      <c r="M34" s="945"/>
      <c r="N34" s="419"/>
      <c r="O34" s="419"/>
      <c r="P34" s="418"/>
      <c r="Q34" s="418"/>
      <c r="R34" s="418"/>
      <c r="S34" s="418"/>
      <c r="T34" s="418"/>
      <c r="U34" s="418"/>
    </row>
    <row r="35" spans="1:21" ht="11.25" customHeight="1">
      <c r="A35" s="420"/>
      <c r="B35" s="420"/>
      <c r="C35" s="420"/>
      <c r="D35" s="939"/>
      <c r="E35" s="939"/>
      <c r="F35" s="939"/>
      <c r="G35" s="939"/>
      <c r="H35" s="939"/>
      <c r="I35" s="939"/>
      <c r="J35" s="939"/>
      <c r="K35" s="939"/>
      <c r="L35" s="939"/>
      <c r="M35" s="939"/>
      <c r="N35" s="939"/>
      <c r="O35" s="939"/>
      <c r="P35" s="939"/>
      <c r="Q35" s="939"/>
      <c r="R35" s="939"/>
      <c r="S35" s="939"/>
      <c r="T35" s="496"/>
      <c r="U35" s="496"/>
    </row>
    <row r="36" spans="1:15" ht="34.5" customHeight="1">
      <c r="A36" s="940" t="s">
        <v>105</v>
      </c>
      <c r="B36" s="941" t="s">
        <v>258</v>
      </c>
      <c r="C36" s="940" t="s">
        <v>107</v>
      </c>
      <c r="D36" s="942" t="s">
        <v>277</v>
      </c>
      <c r="E36" s="942"/>
      <c r="F36" s="942"/>
      <c r="G36" s="942"/>
      <c r="H36" s="942"/>
      <c r="I36" s="942"/>
      <c r="J36" s="946" t="s">
        <v>439</v>
      </c>
      <c r="K36" s="946"/>
      <c r="L36" s="946"/>
      <c r="M36" s="946"/>
      <c r="N36" s="946"/>
      <c r="O36" s="946"/>
    </row>
    <row r="37" spans="1:15" ht="61.5" customHeight="1">
      <c r="A37" s="940"/>
      <c r="B37" s="941"/>
      <c r="C37" s="941"/>
      <c r="D37" s="936" t="s">
        <v>260</v>
      </c>
      <c r="E37" s="937" t="s">
        <v>139</v>
      </c>
      <c r="F37" s="938" t="s">
        <v>140</v>
      </c>
      <c r="G37" s="944" t="s">
        <v>261</v>
      </c>
      <c r="H37" s="934" t="s">
        <v>15</v>
      </c>
      <c r="I37" s="934"/>
      <c r="J37" s="936" t="s">
        <v>262</v>
      </c>
      <c r="K37" s="937" t="s">
        <v>143</v>
      </c>
      <c r="L37" s="938" t="s">
        <v>263</v>
      </c>
      <c r="M37" s="933" t="s">
        <v>264</v>
      </c>
      <c r="N37" s="934" t="s">
        <v>15</v>
      </c>
      <c r="O37" s="934"/>
    </row>
    <row r="38" spans="1:15" ht="141.75" customHeight="1">
      <c r="A38" s="940"/>
      <c r="B38" s="941"/>
      <c r="C38" s="940"/>
      <c r="D38" s="936"/>
      <c r="E38" s="937"/>
      <c r="F38" s="938"/>
      <c r="G38" s="944"/>
      <c r="H38" s="497" t="s">
        <v>265</v>
      </c>
      <c r="I38" s="498" t="s">
        <v>266</v>
      </c>
      <c r="J38" s="936"/>
      <c r="K38" s="937"/>
      <c r="L38" s="938"/>
      <c r="M38" s="933"/>
      <c r="N38" s="497" t="s">
        <v>267</v>
      </c>
      <c r="O38" s="499" t="s">
        <v>268</v>
      </c>
    </row>
    <row r="39" spans="1:15" s="491" customFormat="1" ht="15">
      <c r="A39" s="500">
        <v>1</v>
      </c>
      <c r="B39" s="501">
        <f aca="true" t="shared" si="2" ref="B39:O39">A39+1</f>
        <v>2</v>
      </c>
      <c r="C39" s="501">
        <f t="shared" si="2"/>
        <v>3</v>
      </c>
      <c r="D39" s="501">
        <f t="shared" si="2"/>
        <v>4</v>
      </c>
      <c r="E39" s="501">
        <f t="shared" si="2"/>
        <v>5</v>
      </c>
      <c r="F39" s="501">
        <f t="shared" si="2"/>
        <v>6</v>
      </c>
      <c r="G39" s="500">
        <f t="shared" si="2"/>
        <v>7</v>
      </c>
      <c r="H39" s="500">
        <f t="shared" si="2"/>
        <v>8</v>
      </c>
      <c r="I39" s="500">
        <f t="shared" si="2"/>
        <v>9</v>
      </c>
      <c r="J39" s="501">
        <f t="shared" si="2"/>
        <v>10</v>
      </c>
      <c r="K39" s="501">
        <f t="shared" si="2"/>
        <v>11</v>
      </c>
      <c r="L39" s="501">
        <f t="shared" si="2"/>
        <v>12</v>
      </c>
      <c r="M39" s="500">
        <f t="shared" si="2"/>
        <v>13</v>
      </c>
      <c r="N39" s="500">
        <f t="shared" si="2"/>
        <v>14</v>
      </c>
      <c r="O39" s="500">
        <f t="shared" si="2"/>
        <v>15</v>
      </c>
    </row>
    <row r="40" spans="1:15" s="491" customFormat="1" ht="30">
      <c r="A40" s="501">
        <v>1</v>
      </c>
      <c r="B40" s="501" t="s">
        <v>119</v>
      </c>
      <c r="C40" s="501" t="s">
        <v>120</v>
      </c>
      <c r="D40" s="502">
        <v>50.09</v>
      </c>
      <c r="E40" s="502">
        <v>50.09</v>
      </c>
      <c r="F40" s="503">
        <f>ROUND(E40/D40*100,1)</f>
        <v>100</v>
      </c>
      <c r="G40" s="504">
        <f>'норм. ХВС для ЦО (4-1) '!J45</f>
        <v>0.13082</v>
      </c>
      <c r="H40" s="505">
        <f>ROUND(D40*G40,3)</f>
        <v>6.553</v>
      </c>
      <c r="I40" s="505">
        <f>ROUND(E40*G40,3)</f>
        <v>6.553</v>
      </c>
      <c r="J40" s="502">
        <f aca="true" t="shared" si="3" ref="J40:K42">D40</f>
        <v>50.09</v>
      </c>
      <c r="K40" s="502">
        <f t="shared" si="3"/>
        <v>50.09</v>
      </c>
      <c r="L40" s="503">
        <f>ROUND(K40/J40*100,1)</f>
        <v>100</v>
      </c>
      <c r="M40" s="504">
        <f>'норм. ХВС для ЦО (4-1) '!O45</f>
        <v>0.13082</v>
      </c>
      <c r="N40" s="505">
        <f>ROUND(J40*M40,3)</f>
        <v>6.553</v>
      </c>
      <c r="O40" s="505">
        <f>ROUND(K40*M40,3)</f>
        <v>6.553</v>
      </c>
    </row>
    <row r="41" spans="1:15" s="491" customFormat="1" ht="15">
      <c r="A41" s="501">
        <v>2</v>
      </c>
      <c r="B41" s="501"/>
      <c r="C41" s="501"/>
      <c r="D41" s="502">
        <v>50.09</v>
      </c>
      <c r="E41" s="502">
        <v>50.09</v>
      </c>
      <c r="F41" s="503">
        <f>ROUND(E41/D41*100,1)</f>
        <v>100</v>
      </c>
      <c r="G41" s="504">
        <f>'норм. ХВС для ЦО (4-1) '!J46</f>
        <v>0.00262</v>
      </c>
      <c r="H41" s="505">
        <f>ROUND(D41*G41,3)</f>
        <v>0.131</v>
      </c>
      <c r="I41" s="505">
        <f>ROUND(E41*G41,3)</f>
        <v>0.131</v>
      </c>
      <c r="J41" s="502">
        <f t="shared" si="3"/>
        <v>50.09</v>
      </c>
      <c r="K41" s="502">
        <f t="shared" si="3"/>
        <v>50.09</v>
      </c>
      <c r="L41" s="503">
        <f>ROUND(K41/J41*100,1)</f>
        <v>100</v>
      </c>
      <c r="M41" s="504">
        <f>'норм. ХВС для ЦО (4-1) '!O46</f>
        <v>0.00262</v>
      </c>
      <c r="N41" s="505">
        <f>ROUND(J41*M41,3)</f>
        <v>0.131</v>
      </c>
      <c r="O41" s="505">
        <f>ROUND(K41*M41,3)</f>
        <v>0.131</v>
      </c>
    </row>
    <row r="42" spans="1:15" ht="15">
      <c r="A42" s="798">
        <v>3</v>
      </c>
      <c r="B42" s="501"/>
      <c r="C42" s="501"/>
      <c r="D42" s="502">
        <v>50.09</v>
      </c>
      <c r="E42" s="502">
        <v>50.09</v>
      </c>
      <c r="F42" s="503">
        <f>ROUND(E42/D42*100,1)</f>
        <v>100</v>
      </c>
      <c r="G42" s="504">
        <f>'норм. ХВС для ЦО (4-1) '!J50</f>
        <v>60.62875</v>
      </c>
      <c r="H42" s="505">
        <f>ROUND(D42*G42,3)</f>
        <v>3036.894</v>
      </c>
      <c r="I42" s="505">
        <f>ROUND(E42*G42,3)</f>
        <v>3036.894</v>
      </c>
      <c r="J42" s="502">
        <f t="shared" si="3"/>
        <v>50.09</v>
      </c>
      <c r="K42" s="502">
        <f t="shared" si="3"/>
        <v>50.09</v>
      </c>
      <c r="L42" s="503">
        <f>ROUND(K42/J42*100,1)</f>
        <v>100</v>
      </c>
      <c r="M42" s="504">
        <f>'норм. ХВС для ЦО (4-1) '!O50</f>
        <v>60.62875</v>
      </c>
      <c r="N42" s="505">
        <f>ROUND(J42*M42,3)</f>
        <v>3036.894</v>
      </c>
      <c r="O42" s="505">
        <f>ROUND(K42*M42,3)</f>
        <v>3036.894</v>
      </c>
    </row>
    <row r="43" spans="1:15" ht="15">
      <c r="A43" s="507"/>
      <c r="B43" s="501"/>
      <c r="C43" s="501"/>
      <c r="D43" s="508"/>
      <c r="E43" s="502"/>
      <c r="F43" s="503"/>
      <c r="G43" s="504"/>
      <c r="H43" s="505"/>
      <c r="I43" s="505"/>
      <c r="J43" s="508"/>
      <c r="K43" s="502"/>
      <c r="L43" s="503"/>
      <c r="M43" s="504"/>
      <c r="N43" s="505"/>
      <c r="O43" s="505"/>
    </row>
    <row r="44" spans="1:15" s="512" customFormat="1" ht="29.25" customHeight="1">
      <c r="A44" s="509"/>
      <c r="B44" s="935" t="s">
        <v>246</v>
      </c>
      <c r="C44" s="935"/>
      <c r="D44" s="510">
        <f>ROUND(H44/G44,6)</f>
        <v>50.089998</v>
      </c>
      <c r="E44" s="510">
        <f>ROUND(I44/G44,6)</f>
        <v>50.089998</v>
      </c>
      <c r="F44" s="503">
        <f>ROUND(E44/D44*100,1)</f>
        <v>100</v>
      </c>
      <c r="G44" s="511">
        <f>SUM(G40:G43)</f>
        <v>60.76219</v>
      </c>
      <c r="H44" s="511">
        <f>SUM(H40:H43)</f>
        <v>3043.578</v>
      </c>
      <c r="I44" s="511">
        <f>SUM(I40:I43)</f>
        <v>3043.578</v>
      </c>
      <c r="J44" s="510">
        <f>ROUND(N44/M44,6)</f>
        <v>50.089998</v>
      </c>
      <c r="K44" s="510">
        <f>ROUND(O44/M44,6)</f>
        <v>50.089998</v>
      </c>
      <c r="L44" s="503">
        <f>ROUND(K44/J44*100,1)</f>
        <v>100</v>
      </c>
      <c r="M44" s="511">
        <f>SUM(M40:M43)</f>
        <v>60.76219</v>
      </c>
      <c r="N44" s="511">
        <f>SUM(N40:N43)</f>
        <v>3043.578</v>
      </c>
      <c r="O44" s="511">
        <f>SUM(O40:O43)</f>
        <v>3043.578</v>
      </c>
    </row>
    <row r="45" spans="1:12" ht="75">
      <c r="A45" s="513"/>
      <c r="C45" s="514" t="s">
        <v>269</v>
      </c>
      <c r="D45" s="515" t="s">
        <v>270</v>
      </c>
      <c r="E45" s="515" t="s">
        <v>271</v>
      </c>
      <c r="F45" s="516"/>
      <c r="J45" s="515" t="s">
        <v>272</v>
      </c>
      <c r="K45" s="515" t="s">
        <v>273</v>
      </c>
      <c r="L45" s="516"/>
    </row>
    <row r="46" spans="1:18" ht="15">
      <c r="A46" s="513"/>
      <c r="C46" s="514"/>
      <c r="D46" s="517"/>
      <c r="E46" s="517"/>
      <c r="F46" s="516"/>
      <c r="P46" s="517"/>
      <c r="Q46" s="517"/>
      <c r="R46" s="517"/>
    </row>
    <row r="47" spans="1:21" ht="15" customHeight="1">
      <c r="A47" s="418"/>
      <c r="B47" s="518" t="s">
        <v>247</v>
      </c>
      <c r="C47" s="418"/>
      <c r="D47" s="418"/>
      <c r="E47" s="418"/>
      <c r="F47" s="519"/>
      <c r="G47" s="419"/>
      <c r="H47" s="419"/>
      <c r="I47" s="419"/>
      <c r="J47" s="419"/>
      <c r="K47" s="419"/>
      <c r="L47" s="419"/>
      <c r="M47" s="419"/>
      <c r="N47" s="419"/>
      <c r="O47" s="419"/>
      <c r="P47" s="418"/>
      <c r="Q47" s="418"/>
      <c r="R47" s="418"/>
      <c r="S47" s="418"/>
      <c r="T47" s="418"/>
      <c r="U47" s="418"/>
    </row>
    <row r="48" spans="1:21" ht="11.25" customHeight="1">
      <c r="A48" s="420"/>
      <c r="B48" s="420"/>
      <c r="C48" s="420"/>
      <c r="D48" s="939"/>
      <c r="E48" s="939"/>
      <c r="F48" s="939"/>
      <c r="G48" s="939"/>
      <c r="H48" s="939"/>
      <c r="I48" s="939"/>
      <c r="J48" s="939"/>
      <c r="K48" s="939"/>
      <c r="L48" s="939"/>
      <c r="M48" s="939"/>
      <c r="N48" s="939"/>
      <c r="O48" s="939"/>
      <c r="P48" s="939"/>
      <c r="Q48" s="939"/>
      <c r="R48" s="939"/>
      <c r="S48" s="939"/>
      <c r="T48" s="496"/>
      <c r="U48" s="496"/>
    </row>
    <row r="49" spans="1:15" ht="34.5" customHeight="1">
      <c r="A49" s="940" t="s">
        <v>105</v>
      </c>
      <c r="B49" s="941" t="s">
        <v>258</v>
      </c>
      <c r="C49" s="940" t="s">
        <v>107</v>
      </c>
      <c r="D49" s="942" t="s">
        <v>277</v>
      </c>
      <c r="E49" s="942"/>
      <c r="F49" s="942"/>
      <c r="G49" s="942"/>
      <c r="H49" s="942"/>
      <c r="I49" s="942"/>
      <c r="J49" s="946" t="s">
        <v>439</v>
      </c>
      <c r="K49" s="946"/>
      <c r="L49" s="946"/>
      <c r="M49" s="946"/>
      <c r="N49" s="946"/>
      <c r="O49" s="946"/>
    </row>
    <row r="50" spans="1:15" ht="58.5" customHeight="1">
      <c r="A50" s="940"/>
      <c r="B50" s="941"/>
      <c r="C50" s="941"/>
      <c r="D50" s="936" t="s">
        <v>260</v>
      </c>
      <c r="E50" s="937" t="s">
        <v>139</v>
      </c>
      <c r="F50" s="938" t="s">
        <v>140</v>
      </c>
      <c r="G50" s="933" t="s">
        <v>274</v>
      </c>
      <c r="H50" s="934" t="s">
        <v>15</v>
      </c>
      <c r="I50" s="934"/>
      <c r="J50" s="936" t="s">
        <v>262</v>
      </c>
      <c r="K50" s="937" t="s">
        <v>143</v>
      </c>
      <c r="L50" s="938" t="s">
        <v>263</v>
      </c>
      <c r="M50" s="933" t="s">
        <v>275</v>
      </c>
      <c r="N50" s="934" t="s">
        <v>15</v>
      </c>
      <c r="O50" s="934"/>
    </row>
    <row r="51" spans="1:15" ht="141.75" customHeight="1">
      <c r="A51" s="940"/>
      <c r="B51" s="941"/>
      <c r="C51" s="940"/>
      <c r="D51" s="936"/>
      <c r="E51" s="937"/>
      <c r="F51" s="938"/>
      <c r="G51" s="933"/>
      <c r="H51" s="497" t="s">
        <v>265</v>
      </c>
      <c r="I51" s="498" t="s">
        <v>266</v>
      </c>
      <c r="J51" s="936"/>
      <c r="K51" s="937"/>
      <c r="L51" s="938"/>
      <c r="M51" s="933"/>
      <c r="N51" s="497" t="s">
        <v>267</v>
      </c>
      <c r="O51" s="497" t="s">
        <v>276</v>
      </c>
    </row>
    <row r="52" spans="1:15" s="491" customFormat="1" ht="15">
      <c r="A52" s="500">
        <v>1</v>
      </c>
      <c r="B52" s="501">
        <f aca="true" t="shared" si="4" ref="B52:O52">A52+1</f>
        <v>2</v>
      </c>
      <c r="C52" s="501">
        <f t="shared" si="4"/>
        <v>3</v>
      </c>
      <c r="D52" s="501">
        <f t="shared" si="4"/>
        <v>4</v>
      </c>
      <c r="E52" s="501">
        <f t="shared" si="4"/>
        <v>5</v>
      </c>
      <c r="F52" s="501">
        <f t="shared" si="4"/>
        <v>6</v>
      </c>
      <c r="G52" s="500">
        <f t="shared" si="4"/>
        <v>7</v>
      </c>
      <c r="H52" s="500">
        <f t="shared" si="4"/>
        <v>8</v>
      </c>
      <c r="I52" s="500">
        <f t="shared" si="4"/>
        <v>9</v>
      </c>
      <c r="J52" s="501">
        <f t="shared" si="4"/>
        <v>10</v>
      </c>
      <c r="K52" s="501">
        <f t="shared" si="4"/>
        <v>11</v>
      </c>
      <c r="L52" s="501">
        <f t="shared" si="4"/>
        <v>12</v>
      </c>
      <c r="M52" s="500">
        <f t="shared" si="4"/>
        <v>13</v>
      </c>
      <c r="N52" s="500">
        <f t="shared" si="4"/>
        <v>14</v>
      </c>
      <c r="O52" s="500">
        <f t="shared" si="4"/>
        <v>15</v>
      </c>
    </row>
    <row r="53" spans="1:15" s="491" customFormat="1" ht="15">
      <c r="A53" s="501">
        <v>1</v>
      </c>
      <c r="B53" s="501"/>
      <c r="C53" s="501"/>
      <c r="D53" s="502"/>
      <c r="E53" s="502"/>
      <c r="F53" s="503" t="e">
        <f>ROUND(E53/D53*100,1)</f>
        <v>#DIV/0!</v>
      </c>
      <c r="G53" s="504">
        <f>'норм. ХВС для ЦО (4-1) '!J62</f>
        <v>0</v>
      </c>
      <c r="H53" s="505">
        <f>ROUND(D53*G53,3)</f>
        <v>0</v>
      </c>
      <c r="I53" s="505">
        <f>ROUND(E53*G53,3)</f>
        <v>0</v>
      </c>
      <c r="J53" s="502"/>
      <c r="K53" s="502"/>
      <c r="L53" s="503" t="e">
        <f>ROUND(K53/J53*100,1)</f>
        <v>#DIV/0!</v>
      </c>
      <c r="M53" s="504">
        <f>'норм. ХВС для ЦО (4-1) '!O62</f>
        <v>0</v>
      </c>
      <c r="N53" s="505">
        <f>ROUND(J53*M53,3)</f>
        <v>0</v>
      </c>
      <c r="O53" s="505">
        <f>ROUND(K53*M53,3)</f>
        <v>0</v>
      </c>
    </row>
    <row r="54" spans="1:15" s="491" customFormat="1" ht="15">
      <c r="A54" s="501"/>
      <c r="B54" s="501">
        <f>'норм. ХВС для ЦО (4-1) '!B59</f>
        <v>0</v>
      </c>
      <c r="C54" s="501">
        <f>'норм. ХВС для ЦО (4-1) '!C59</f>
        <v>0</v>
      </c>
      <c r="D54" s="502"/>
      <c r="E54" s="502"/>
      <c r="F54" s="503" t="e">
        <f>ROUND(E54/D54*100,1)</f>
        <v>#DIV/0!</v>
      </c>
      <c r="G54" s="504">
        <v>0</v>
      </c>
      <c r="H54" s="505">
        <f>ROUND(D54*G54,3)</f>
        <v>0</v>
      </c>
      <c r="I54" s="505">
        <f>ROUND(E54*G54,3)</f>
        <v>0</v>
      </c>
      <c r="J54" s="502"/>
      <c r="K54" s="502"/>
      <c r="L54" s="503" t="e">
        <f>ROUND(K54/J54*100,1)</f>
        <v>#DIV/0!</v>
      </c>
      <c r="M54" s="504">
        <v>0</v>
      </c>
      <c r="N54" s="505">
        <f>ROUND(J54*M54,3)</f>
        <v>0</v>
      </c>
      <c r="O54" s="505">
        <f>ROUND(K54*M54,3)</f>
        <v>0</v>
      </c>
    </row>
    <row r="55" spans="1:15" ht="15">
      <c r="A55" s="506"/>
      <c r="B55" s="501">
        <f>'норм. ХВС для ЦО (4-1) '!B60</f>
        <v>0</v>
      </c>
      <c r="C55" s="501">
        <v>0</v>
      </c>
      <c r="D55" s="520"/>
      <c r="E55" s="502"/>
      <c r="F55" s="503"/>
      <c r="G55" s="504">
        <v>0</v>
      </c>
      <c r="H55" s="505"/>
      <c r="I55" s="505"/>
      <c r="J55" s="520"/>
      <c r="K55" s="502"/>
      <c r="L55" s="503"/>
      <c r="M55" s="504"/>
      <c r="N55" s="505">
        <f>ROUND(J55*M55,3)</f>
        <v>0</v>
      </c>
      <c r="O55" s="505">
        <f>ROUND(K55*M55,3)</f>
        <v>0</v>
      </c>
    </row>
    <row r="56" spans="1:15" ht="15">
      <c r="A56" s="507"/>
      <c r="B56" s="501"/>
      <c r="C56" s="501"/>
      <c r="D56" s="508"/>
      <c r="E56" s="502"/>
      <c r="F56" s="503"/>
      <c r="G56" s="504"/>
      <c r="H56" s="505"/>
      <c r="I56" s="505"/>
      <c r="J56" s="508"/>
      <c r="K56" s="502"/>
      <c r="L56" s="503"/>
      <c r="M56" s="504"/>
      <c r="N56" s="505"/>
      <c r="O56" s="505"/>
    </row>
    <row r="57" spans="1:15" s="512" customFormat="1" ht="36.75" customHeight="1">
      <c r="A57" s="509"/>
      <c r="B57" s="935" t="s">
        <v>246</v>
      </c>
      <c r="C57" s="935"/>
      <c r="D57" s="510" t="e">
        <f>ROUND(H57/G57,6)</f>
        <v>#DIV/0!</v>
      </c>
      <c r="E57" s="510" t="e">
        <f>ROUND(I57/G57,6)</f>
        <v>#DIV/0!</v>
      </c>
      <c r="F57" s="503" t="e">
        <f>ROUND(E57/D57*100,1)</f>
        <v>#DIV/0!</v>
      </c>
      <c r="G57" s="511">
        <f>SUM(G53:G56)</f>
        <v>0</v>
      </c>
      <c r="H57" s="511">
        <f>SUM(H53:H56)</f>
        <v>0</v>
      </c>
      <c r="I57" s="511">
        <f>SUM(I53:I56)</f>
        <v>0</v>
      </c>
      <c r="J57" s="510" t="e">
        <f>ROUND(N57/M57,6)</f>
        <v>#DIV/0!</v>
      </c>
      <c r="K57" s="510" t="e">
        <f>ROUND(O57/M57,6)</f>
        <v>#DIV/0!</v>
      </c>
      <c r="L57" s="503" t="e">
        <f>ROUND(K57/J57*100,1)</f>
        <v>#DIV/0!</v>
      </c>
      <c r="M57" s="511">
        <f>SUM(M53:M56)</f>
        <v>0</v>
      </c>
      <c r="N57" s="511">
        <f>SUM(N53:N56)</f>
        <v>0</v>
      </c>
      <c r="O57" s="511">
        <f>SUM(O53:O56)</f>
        <v>0</v>
      </c>
    </row>
    <row r="58" spans="1:12" ht="75">
      <c r="A58" s="513"/>
      <c r="C58" s="514" t="s">
        <v>269</v>
      </c>
      <c r="D58" s="515" t="s">
        <v>270</v>
      </c>
      <c r="E58" s="515" t="s">
        <v>271</v>
      </c>
      <c r="F58" s="516"/>
      <c r="J58" s="515" t="s">
        <v>272</v>
      </c>
      <c r="K58" s="515" t="s">
        <v>273</v>
      </c>
      <c r="L58" s="516"/>
    </row>
    <row r="59" spans="1:15" s="208" customFormat="1" ht="15.75" customHeight="1">
      <c r="A59" s="274"/>
      <c r="B59" s="902" t="s">
        <v>157</v>
      </c>
      <c r="C59" s="902"/>
      <c r="D59" s="274"/>
      <c r="E59" s="274"/>
      <c r="F59" s="221"/>
      <c r="G59" s="222"/>
      <c r="H59" s="222"/>
      <c r="I59" s="222"/>
      <c r="J59" s="222"/>
      <c r="K59" s="222"/>
      <c r="L59" s="222"/>
      <c r="M59" s="274"/>
      <c r="N59" s="274"/>
      <c r="O59" s="274"/>
    </row>
    <row r="60" spans="1:15" s="208" customFormat="1" ht="15.75">
      <c r="A60" s="274"/>
      <c r="B60" s="296" t="s">
        <v>128</v>
      </c>
      <c r="C60" s="296"/>
      <c r="D60" s="274"/>
      <c r="E60" s="274"/>
      <c r="F60" s="221"/>
      <c r="G60" s="222"/>
      <c r="H60" s="222"/>
      <c r="I60" s="222"/>
      <c r="J60" s="222"/>
      <c r="K60" s="222"/>
      <c r="L60" s="222"/>
      <c r="M60" s="274"/>
      <c r="N60" s="274"/>
      <c r="O60" s="274"/>
    </row>
    <row r="61" spans="1:21" ht="15" customHeight="1">
      <c r="A61" s="418"/>
      <c r="B61" s="945" t="s">
        <v>257</v>
      </c>
      <c r="C61" s="945"/>
      <c r="D61" s="945"/>
      <c r="E61" s="945"/>
      <c r="F61" s="945"/>
      <c r="G61" s="945"/>
      <c r="H61" s="945"/>
      <c r="I61" s="945"/>
      <c r="J61" s="945"/>
      <c r="K61" s="945"/>
      <c r="L61" s="945"/>
      <c r="M61" s="945"/>
      <c r="N61" s="419"/>
      <c r="O61" s="419"/>
      <c r="P61" s="418"/>
      <c r="Q61" s="418"/>
      <c r="R61" s="418"/>
      <c r="S61" s="418"/>
      <c r="T61" s="418"/>
      <c r="U61" s="418"/>
    </row>
    <row r="62" spans="1:21" ht="11.25" customHeight="1">
      <c r="A62" s="420"/>
      <c r="B62" s="420"/>
      <c r="C62" s="420"/>
      <c r="D62" s="939"/>
      <c r="E62" s="939"/>
      <c r="F62" s="939"/>
      <c r="G62" s="939"/>
      <c r="H62" s="939"/>
      <c r="I62" s="939"/>
      <c r="J62" s="939"/>
      <c r="K62" s="939"/>
      <c r="L62" s="939"/>
      <c r="M62" s="939"/>
      <c r="N62" s="939"/>
      <c r="O62" s="939"/>
      <c r="P62" s="939"/>
      <c r="Q62" s="939"/>
      <c r="R62" s="939"/>
      <c r="S62" s="939"/>
      <c r="T62" s="496"/>
      <c r="U62" s="496"/>
    </row>
    <row r="63" spans="1:15" ht="34.5" customHeight="1">
      <c r="A63" s="940" t="s">
        <v>105</v>
      </c>
      <c r="B63" s="941" t="s">
        <v>258</v>
      </c>
      <c r="C63" s="940" t="s">
        <v>107</v>
      </c>
      <c r="D63" s="942" t="s">
        <v>131</v>
      </c>
      <c r="E63" s="942"/>
      <c r="F63" s="942"/>
      <c r="G63" s="942"/>
      <c r="H63" s="942"/>
      <c r="I63" s="942"/>
      <c r="J63" s="943" t="s">
        <v>430</v>
      </c>
      <c r="K63" s="943"/>
      <c r="L63" s="943"/>
      <c r="M63" s="943"/>
      <c r="N63" s="943"/>
      <c r="O63" s="943"/>
    </row>
    <row r="64" spans="1:15" ht="61.5" customHeight="1">
      <c r="A64" s="940"/>
      <c r="B64" s="941"/>
      <c r="C64" s="941"/>
      <c r="D64" s="936" t="s">
        <v>260</v>
      </c>
      <c r="E64" s="937" t="s">
        <v>139</v>
      </c>
      <c r="F64" s="938" t="s">
        <v>140</v>
      </c>
      <c r="G64" s="944" t="s">
        <v>261</v>
      </c>
      <c r="H64" s="934" t="s">
        <v>15</v>
      </c>
      <c r="I64" s="934"/>
      <c r="J64" s="936" t="s">
        <v>262</v>
      </c>
      <c r="K64" s="937" t="s">
        <v>143</v>
      </c>
      <c r="L64" s="938" t="s">
        <v>263</v>
      </c>
      <c r="M64" s="933" t="s">
        <v>264</v>
      </c>
      <c r="N64" s="934" t="s">
        <v>15</v>
      </c>
      <c r="O64" s="934"/>
    </row>
    <row r="65" spans="1:15" ht="141.75" customHeight="1">
      <c r="A65" s="940"/>
      <c r="B65" s="941"/>
      <c r="C65" s="940"/>
      <c r="D65" s="936"/>
      <c r="E65" s="937"/>
      <c r="F65" s="938"/>
      <c r="G65" s="944"/>
      <c r="H65" s="497" t="s">
        <v>265</v>
      </c>
      <c r="I65" s="498" t="s">
        <v>266</v>
      </c>
      <c r="J65" s="936"/>
      <c r="K65" s="937"/>
      <c r="L65" s="938"/>
      <c r="M65" s="933"/>
      <c r="N65" s="497" t="s">
        <v>267</v>
      </c>
      <c r="O65" s="499" t="s">
        <v>268</v>
      </c>
    </row>
    <row r="66" spans="1:15" s="491" customFormat="1" ht="15">
      <c r="A66" s="500">
        <v>1</v>
      </c>
      <c r="B66" s="501">
        <f aca="true" t="shared" si="5" ref="B66:O66">A66+1</f>
        <v>2</v>
      </c>
      <c r="C66" s="501">
        <f t="shared" si="5"/>
        <v>3</v>
      </c>
      <c r="D66" s="501">
        <f t="shared" si="5"/>
        <v>4</v>
      </c>
      <c r="E66" s="501">
        <f t="shared" si="5"/>
        <v>5</v>
      </c>
      <c r="F66" s="501">
        <f t="shared" si="5"/>
        <v>6</v>
      </c>
      <c r="G66" s="500">
        <f t="shared" si="5"/>
        <v>7</v>
      </c>
      <c r="H66" s="500">
        <f t="shared" si="5"/>
        <v>8</v>
      </c>
      <c r="I66" s="500">
        <f t="shared" si="5"/>
        <v>9</v>
      </c>
      <c r="J66" s="501">
        <f t="shared" si="5"/>
        <v>10</v>
      </c>
      <c r="K66" s="501">
        <f t="shared" si="5"/>
        <v>11</v>
      </c>
      <c r="L66" s="501">
        <f t="shared" si="5"/>
        <v>12</v>
      </c>
      <c r="M66" s="500">
        <f t="shared" si="5"/>
        <v>13</v>
      </c>
      <c r="N66" s="500">
        <f t="shared" si="5"/>
        <v>14</v>
      </c>
      <c r="O66" s="500">
        <f t="shared" si="5"/>
        <v>15</v>
      </c>
    </row>
    <row r="67" spans="1:15" s="491" customFormat="1" ht="27.75" customHeight="1">
      <c r="A67" s="501">
        <v>1</v>
      </c>
      <c r="B67" s="501" t="str">
        <f>'норм. ХВС для ЦО (4-1) '!B77</f>
        <v>п.Рассвет</v>
      </c>
      <c r="C67" s="501" t="str">
        <f>'норм. ХВС для ЦО (4-1) '!C77</f>
        <v>ООО «Жилбытсервис»</v>
      </c>
      <c r="D67" s="502">
        <v>50.09</v>
      </c>
      <c r="E67" s="502">
        <v>50.09</v>
      </c>
      <c r="F67" s="503">
        <f>ROUND(E67/D67*100,1)</f>
        <v>100</v>
      </c>
      <c r="G67" s="504">
        <f>'норм. ХВС для ЦО (4-1) '!J77</f>
        <v>0.26164</v>
      </c>
      <c r="H67" s="505">
        <f>ROUND(D67*G67,3)</f>
        <v>13.106</v>
      </c>
      <c r="I67" s="505">
        <f>ROUND(E67*G67,3)</f>
        <v>13.106</v>
      </c>
      <c r="J67" s="502">
        <v>52.04</v>
      </c>
      <c r="K67" s="502">
        <f>J67</f>
        <v>52.04</v>
      </c>
      <c r="L67" s="503">
        <f>ROUND(K67/J67*100,1)</f>
        <v>100</v>
      </c>
      <c r="M67" s="504">
        <f>'норм. ХВС для ЦО (4-1) '!O77</f>
        <v>0.26164</v>
      </c>
      <c r="N67" s="505">
        <f>ROUND(J67*M67,3)</f>
        <v>13.616</v>
      </c>
      <c r="O67" s="505">
        <f>ROUND(K67*M67,3)</f>
        <v>13.616</v>
      </c>
    </row>
    <row r="68" spans="1:15" s="491" customFormat="1" ht="25.5" customHeight="1">
      <c r="A68" s="501">
        <v>2</v>
      </c>
      <c r="B68" s="501"/>
      <c r="C68" s="501"/>
      <c r="D68" s="502">
        <v>50.09</v>
      </c>
      <c r="E68" s="502">
        <v>50.09</v>
      </c>
      <c r="F68" s="503">
        <f>ROUND(E68/D68*100,1)</f>
        <v>100</v>
      </c>
      <c r="G68" s="504">
        <f>'норм. ХВС для ЦО (4-1) '!J78</f>
        <v>0.00524</v>
      </c>
      <c r="H68" s="505">
        <f>ROUND(D68*G68,3)</f>
        <v>0.262</v>
      </c>
      <c r="I68" s="505">
        <f>ROUND(E68*G68,3)</f>
        <v>0.262</v>
      </c>
      <c r="J68" s="502">
        <v>52.04</v>
      </c>
      <c r="K68" s="502">
        <f>J68</f>
        <v>52.04</v>
      </c>
      <c r="L68" s="503">
        <f>ROUND(K68/J68*100,1)</f>
        <v>100</v>
      </c>
      <c r="M68" s="504">
        <f>'норм. ХВС для ЦО (4-1) '!O78</f>
        <v>0.00524</v>
      </c>
      <c r="N68" s="505">
        <f>ROUND(J68*M68,3)</f>
        <v>0.273</v>
      </c>
      <c r="O68" s="505">
        <f>ROUND(K68*M68,3)</f>
        <v>0.273</v>
      </c>
    </row>
    <row r="69" spans="1:15" ht="15">
      <c r="A69" s="798">
        <v>3</v>
      </c>
      <c r="B69" s="501"/>
      <c r="C69" s="501"/>
      <c r="D69" s="502">
        <v>50.09</v>
      </c>
      <c r="E69" s="502">
        <v>50.09</v>
      </c>
      <c r="F69" s="503">
        <f>ROUND(E69/D69*100,1)</f>
        <v>100</v>
      </c>
      <c r="G69" s="504">
        <f>'норм. ХВС для ЦО (4-1) '!J82</f>
        <v>121.2575</v>
      </c>
      <c r="H69" s="505">
        <f>ROUND(D69*G69,3)</f>
        <v>6073.788</v>
      </c>
      <c r="I69" s="505">
        <f>ROUND(E69*G69,3)</f>
        <v>6073.788</v>
      </c>
      <c r="J69" s="502">
        <v>52.04</v>
      </c>
      <c r="K69" s="502">
        <f>J69</f>
        <v>52.04</v>
      </c>
      <c r="L69" s="503">
        <f>ROUND(K69/J69*100,1)</f>
        <v>100</v>
      </c>
      <c r="M69" s="504">
        <f>'норм. ХВС для ЦО (4-1) '!O82</f>
        <v>121.2575</v>
      </c>
      <c r="N69" s="505">
        <f>ROUND(J69*M69,3)</f>
        <v>6310.24</v>
      </c>
      <c r="O69" s="505">
        <f>ROUND(K69*M69,3)</f>
        <v>6310.24</v>
      </c>
    </row>
    <row r="70" spans="1:15" ht="15">
      <c r="A70" s="507"/>
      <c r="B70" s="501"/>
      <c r="C70" s="501"/>
      <c r="D70" s="508"/>
      <c r="E70" s="502"/>
      <c r="F70" s="503"/>
      <c r="G70" s="504"/>
      <c r="H70" s="505"/>
      <c r="I70" s="505"/>
      <c r="J70" s="508"/>
      <c r="K70" s="502"/>
      <c r="L70" s="503"/>
      <c r="M70" s="504"/>
      <c r="N70" s="505"/>
      <c r="O70" s="505"/>
    </row>
    <row r="71" spans="1:15" s="512" customFormat="1" ht="29.25" customHeight="1">
      <c r="A71" s="509"/>
      <c r="B71" s="935" t="s">
        <v>246</v>
      </c>
      <c r="C71" s="935"/>
      <c r="D71" s="510">
        <f>ROUND(H71/G71,6)</f>
        <v>50.089998</v>
      </c>
      <c r="E71" s="510">
        <f>ROUND(I71/G71,6)</f>
        <v>50.089998</v>
      </c>
      <c r="F71" s="503">
        <f>ROUND(E71/D71*100,1)</f>
        <v>100</v>
      </c>
      <c r="G71" s="511">
        <f>SUM(G67:G70)</f>
        <v>121.52438</v>
      </c>
      <c r="H71" s="511">
        <f>SUM(H67:H70)</f>
        <v>6087.156</v>
      </c>
      <c r="I71" s="511">
        <f>SUM(I67:I70)</f>
        <v>6087.156</v>
      </c>
      <c r="J71" s="510">
        <f>ROUND(N71/M71,6)</f>
        <v>52.040002</v>
      </c>
      <c r="K71" s="510">
        <f>ROUND(O71/M71,6)</f>
        <v>52.040002</v>
      </c>
      <c r="L71" s="503">
        <f>ROUND(K71/J71*100,1)</f>
        <v>100</v>
      </c>
      <c r="M71" s="511">
        <f>SUM(M67:M70)</f>
        <v>121.52438</v>
      </c>
      <c r="N71" s="511">
        <f>SUM(N67:N70)</f>
        <v>6324.129</v>
      </c>
      <c r="O71" s="511">
        <f>SUM(O67:O70)</f>
        <v>6324.129</v>
      </c>
    </row>
    <row r="72" spans="1:12" ht="75">
      <c r="A72" s="513"/>
      <c r="C72" s="514" t="s">
        <v>269</v>
      </c>
      <c r="D72" s="515" t="s">
        <v>270</v>
      </c>
      <c r="E72" s="515" t="s">
        <v>271</v>
      </c>
      <c r="F72" s="516"/>
      <c r="J72" s="515" t="s">
        <v>272</v>
      </c>
      <c r="K72" s="515" t="s">
        <v>273</v>
      </c>
      <c r="L72" s="516"/>
    </row>
    <row r="73" spans="1:18" ht="15">
      <c r="A73" s="513"/>
      <c r="C73" s="514"/>
      <c r="D73" s="517"/>
      <c r="E73" s="517"/>
      <c r="F73" s="516"/>
      <c r="P73" s="517"/>
      <c r="Q73" s="517"/>
      <c r="R73" s="517"/>
    </row>
    <row r="74" spans="1:21" ht="15" customHeight="1">
      <c r="A74" s="418"/>
      <c r="B74" s="518" t="s">
        <v>247</v>
      </c>
      <c r="C74" s="418"/>
      <c r="D74" s="418"/>
      <c r="E74" s="418"/>
      <c r="F74" s="519"/>
      <c r="G74" s="419"/>
      <c r="H74" s="419"/>
      <c r="I74" s="419"/>
      <c r="J74" s="419"/>
      <c r="K74" s="419"/>
      <c r="L74" s="419"/>
      <c r="M74" s="419"/>
      <c r="N74" s="419"/>
      <c r="O74" s="419"/>
      <c r="P74" s="418"/>
      <c r="Q74" s="418"/>
      <c r="R74" s="418"/>
      <c r="S74" s="418"/>
      <c r="T74" s="418"/>
      <c r="U74" s="418"/>
    </row>
    <row r="75" spans="1:21" ht="11.25" customHeight="1">
      <c r="A75" s="420"/>
      <c r="B75" s="420"/>
      <c r="C75" s="420"/>
      <c r="D75" s="939"/>
      <c r="E75" s="939"/>
      <c r="F75" s="939"/>
      <c r="G75" s="939"/>
      <c r="H75" s="939"/>
      <c r="I75" s="939"/>
      <c r="J75" s="939"/>
      <c r="K75" s="939"/>
      <c r="L75" s="939"/>
      <c r="M75" s="939"/>
      <c r="N75" s="939"/>
      <c r="O75" s="939"/>
      <c r="P75" s="939"/>
      <c r="Q75" s="939"/>
      <c r="R75" s="939"/>
      <c r="S75" s="939"/>
      <c r="T75" s="496"/>
      <c r="U75" s="496"/>
    </row>
    <row r="76" spans="1:15" ht="34.5" customHeight="1">
      <c r="A76" s="940" t="s">
        <v>105</v>
      </c>
      <c r="B76" s="941" t="s">
        <v>258</v>
      </c>
      <c r="C76" s="940" t="s">
        <v>107</v>
      </c>
      <c r="D76" s="942" t="s">
        <v>131</v>
      </c>
      <c r="E76" s="942"/>
      <c r="F76" s="942"/>
      <c r="G76" s="942"/>
      <c r="H76" s="942"/>
      <c r="I76" s="942"/>
      <c r="J76" s="943" t="s">
        <v>430</v>
      </c>
      <c r="K76" s="943"/>
      <c r="L76" s="943"/>
      <c r="M76" s="943"/>
      <c r="N76" s="943"/>
      <c r="O76" s="943"/>
    </row>
    <row r="77" spans="1:15" ht="58.5" customHeight="1">
      <c r="A77" s="940"/>
      <c r="B77" s="941"/>
      <c r="C77" s="941"/>
      <c r="D77" s="936" t="s">
        <v>260</v>
      </c>
      <c r="E77" s="937" t="s">
        <v>139</v>
      </c>
      <c r="F77" s="938" t="s">
        <v>140</v>
      </c>
      <c r="G77" s="933" t="s">
        <v>274</v>
      </c>
      <c r="H77" s="934" t="s">
        <v>15</v>
      </c>
      <c r="I77" s="934"/>
      <c r="J77" s="936" t="s">
        <v>262</v>
      </c>
      <c r="K77" s="937" t="s">
        <v>143</v>
      </c>
      <c r="L77" s="938" t="s">
        <v>263</v>
      </c>
      <c r="M77" s="933" t="s">
        <v>275</v>
      </c>
      <c r="N77" s="934" t="s">
        <v>15</v>
      </c>
      <c r="O77" s="934"/>
    </row>
    <row r="78" spans="1:15" ht="141.75" customHeight="1">
      <c r="A78" s="940"/>
      <c r="B78" s="941"/>
      <c r="C78" s="940"/>
      <c r="D78" s="936"/>
      <c r="E78" s="937"/>
      <c r="F78" s="938"/>
      <c r="G78" s="933"/>
      <c r="H78" s="497" t="s">
        <v>265</v>
      </c>
      <c r="I78" s="498" t="s">
        <v>266</v>
      </c>
      <c r="J78" s="936"/>
      <c r="K78" s="937"/>
      <c r="L78" s="938"/>
      <c r="M78" s="933"/>
      <c r="N78" s="497" t="s">
        <v>267</v>
      </c>
      <c r="O78" s="497" t="s">
        <v>276</v>
      </c>
    </row>
    <row r="79" spans="1:15" s="491" customFormat="1" ht="15">
      <c r="A79" s="500">
        <v>1</v>
      </c>
      <c r="B79" s="501">
        <f aca="true" t="shared" si="6" ref="B79:O79">A79+1</f>
        <v>2</v>
      </c>
      <c r="C79" s="501">
        <f t="shared" si="6"/>
        <v>3</v>
      </c>
      <c r="D79" s="501">
        <f t="shared" si="6"/>
        <v>4</v>
      </c>
      <c r="E79" s="501">
        <f t="shared" si="6"/>
        <v>5</v>
      </c>
      <c r="F79" s="501">
        <f t="shared" si="6"/>
        <v>6</v>
      </c>
      <c r="G79" s="500">
        <f t="shared" si="6"/>
        <v>7</v>
      </c>
      <c r="H79" s="500">
        <f t="shared" si="6"/>
        <v>8</v>
      </c>
      <c r="I79" s="500">
        <f t="shared" si="6"/>
        <v>9</v>
      </c>
      <c r="J79" s="501">
        <f t="shared" si="6"/>
        <v>10</v>
      </c>
      <c r="K79" s="501">
        <f t="shared" si="6"/>
        <v>11</v>
      </c>
      <c r="L79" s="501">
        <f t="shared" si="6"/>
        <v>12</v>
      </c>
      <c r="M79" s="500">
        <f t="shared" si="6"/>
        <v>13</v>
      </c>
      <c r="N79" s="500">
        <f t="shared" si="6"/>
        <v>14</v>
      </c>
      <c r="O79" s="500">
        <f t="shared" si="6"/>
        <v>15</v>
      </c>
    </row>
    <row r="80" spans="1:15" s="491" customFormat="1" ht="24" customHeight="1">
      <c r="A80" s="501">
        <v>1</v>
      </c>
      <c r="B80" s="501">
        <f>'норм. ХВС для ЦО (4-1) '!B94</f>
        <v>0</v>
      </c>
      <c r="C80" s="501">
        <f>'норм. ХВС для ЦО (4-1) '!C94</f>
        <v>0</v>
      </c>
      <c r="D80" s="502"/>
      <c r="E80" s="502"/>
      <c r="F80" s="503" t="e">
        <f>ROUND(E80/D80*100,1)</f>
        <v>#DIV/0!</v>
      </c>
      <c r="G80" s="504">
        <f>'норм. ХВС для ЦО (4-1) '!J94</f>
        <v>0</v>
      </c>
      <c r="H80" s="505">
        <f>ROUND(D80*G80,3)</f>
        <v>0</v>
      </c>
      <c r="I80" s="505">
        <f>ROUND(E80*G80,3)</f>
        <v>0</v>
      </c>
      <c r="J80" s="502"/>
      <c r="K80" s="502"/>
      <c r="L80" s="503" t="e">
        <f>ROUND(K80/J80*100,1)</f>
        <v>#DIV/0!</v>
      </c>
      <c r="M80" s="504">
        <f>'норм. ХВС для ЦО (4-1) '!O94</f>
        <v>0</v>
      </c>
      <c r="N80" s="505">
        <f>ROUND(J80*M80,3)</f>
        <v>0</v>
      </c>
      <c r="O80" s="505">
        <f>ROUND(K80*M80,3)</f>
        <v>0</v>
      </c>
    </row>
    <row r="81" spans="1:15" s="491" customFormat="1" ht="15">
      <c r="A81" s="501"/>
      <c r="B81" s="501">
        <f>'норм. ХВС для ЦО (4-1) '!B95</f>
        <v>0</v>
      </c>
      <c r="C81" s="501">
        <f>'норм. ХВС для ЦО (4-1) '!C95</f>
        <v>0</v>
      </c>
      <c r="D81" s="502"/>
      <c r="E81" s="502"/>
      <c r="F81" s="503" t="e">
        <f>ROUND(E81/D81*100,1)</f>
        <v>#DIV/0!</v>
      </c>
      <c r="G81" s="504">
        <f>'норм. ХВС для ЦО (4-1) '!J95</f>
        <v>0</v>
      </c>
      <c r="H81" s="505">
        <f>ROUND(D81*G81,3)</f>
        <v>0</v>
      </c>
      <c r="I81" s="505">
        <f>ROUND(E81*G81,3)</f>
        <v>0</v>
      </c>
      <c r="J81" s="502"/>
      <c r="K81" s="502"/>
      <c r="L81" s="503" t="e">
        <f>ROUND(K81/J81*100,1)</f>
        <v>#DIV/0!</v>
      </c>
      <c r="M81" s="504">
        <f>'норм. ХВС для ЦО (4-1) '!O95</f>
        <v>0</v>
      </c>
      <c r="N81" s="505">
        <f>ROUND(J81*M81,3)</f>
        <v>0</v>
      </c>
      <c r="O81" s="505">
        <f>ROUND(K81*M81,3)</f>
        <v>0</v>
      </c>
    </row>
    <row r="82" spans="1:15" ht="15">
      <c r="A82" s="506"/>
      <c r="B82" s="501">
        <f>'норм. ХВС для ЦО (4-1) '!B96</f>
        <v>0</v>
      </c>
      <c r="C82" s="501">
        <f>'норм. ХВС для ЦО (4-1) '!C96</f>
        <v>0</v>
      </c>
      <c r="D82" s="520"/>
      <c r="E82" s="502"/>
      <c r="F82" s="503"/>
      <c r="G82" s="504">
        <f>'норм. ХВС для ЦО (4-1) '!J96</f>
        <v>0</v>
      </c>
      <c r="H82" s="505"/>
      <c r="I82" s="505"/>
      <c r="J82" s="520"/>
      <c r="K82" s="502"/>
      <c r="L82" s="503"/>
      <c r="M82" s="504">
        <f>'норм. ХВС для ЦО (4-1) '!O96</f>
        <v>0</v>
      </c>
      <c r="N82" s="505">
        <f>ROUND(J82*M82,3)</f>
        <v>0</v>
      </c>
      <c r="O82" s="505">
        <f>ROUND(K82*M82,3)</f>
        <v>0</v>
      </c>
    </row>
    <row r="83" spans="1:15" ht="15">
      <c r="A83" s="507"/>
      <c r="B83" s="501"/>
      <c r="C83" s="501"/>
      <c r="D83" s="508"/>
      <c r="E83" s="502"/>
      <c r="F83" s="503"/>
      <c r="G83" s="504">
        <f>'норм. ХВС для ЦО (4-1) '!J97</f>
        <v>0</v>
      </c>
      <c r="H83" s="505"/>
      <c r="I83" s="505"/>
      <c r="J83" s="508"/>
      <c r="K83" s="502"/>
      <c r="L83" s="503"/>
      <c r="M83" s="504"/>
      <c r="N83" s="505"/>
      <c r="O83" s="505"/>
    </row>
    <row r="84" spans="1:15" s="512" customFormat="1" ht="36.75" customHeight="1">
      <c r="A84" s="509"/>
      <c r="B84" s="935" t="s">
        <v>246</v>
      </c>
      <c r="C84" s="935"/>
      <c r="D84" s="510" t="e">
        <f>ROUND(H84/G84,6)</f>
        <v>#DIV/0!</v>
      </c>
      <c r="E84" s="510" t="e">
        <f>ROUND(I84/G84,6)</f>
        <v>#DIV/0!</v>
      </c>
      <c r="F84" s="503" t="e">
        <f>ROUND(E84/D84*100,1)</f>
        <v>#DIV/0!</v>
      </c>
      <c r="G84" s="511">
        <f>SUM(G80:G83)</f>
        <v>0</v>
      </c>
      <c r="H84" s="511">
        <f>SUM(H80:H83)</f>
        <v>0</v>
      </c>
      <c r="I84" s="511">
        <f>SUM(I80:I83)</f>
        <v>0</v>
      </c>
      <c r="J84" s="510" t="e">
        <f>ROUND(N84/M84,6)</f>
        <v>#DIV/0!</v>
      </c>
      <c r="K84" s="510" t="e">
        <f>ROUND(O84/M84,6)</f>
        <v>#DIV/0!</v>
      </c>
      <c r="L84" s="503" t="e">
        <f>ROUND(K84/J84*100,1)</f>
        <v>#DIV/0!</v>
      </c>
      <c r="M84" s="511">
        <f>SUM(M80:M83)</f>
        <v>0</v>
      </c>
      <c r="N84" s="511">
        <f>SUM(N80:N83)</f>
        <v>0</v>
      </c>
      <c r="O84" s="511">
        <f>SUM(O80:O83)</f>
        <v>0</v>
      </c>
    </row>
    <row r="85" spans="1:12" ht="75">
      <c r="A85" s="513"/>
      <c r="C85" s="514" t="s">
        <v>269</v>
      </c>
      <c r="D85" s="515" t="s">
        <v>270</v>
      </c>
      <c r="E85" s="515" t="s">
        <v>271</v>
      </c>
      <c r="F85" s="516"/>
      <c r="J85" s="515" t="s">
        <v>272</v>
      </c>
      <c r="K85" s="515" t="s">
        <v>273</v>
      </c>
      <c r="L85" s="516"/>
    </row>
    <row r="86" spans="1:15" s="366" customFormat="1" ht="15.75">
      <c r="A86" s="395"/>
      <c r="B86" s="360"/>
      <c r="C86" s="360"/>
      <c r="D86" s="395"/>
      <c r="E86" s="395"/>
      <c r="F86" s="396"/>
      <c r="G86" s="272"/>
      <c r="H86" s="272"/>
      <c r="I86" s="272"/>
      <c r="J86" s="272"/>
      <c r="K86" s="272"/>
      <c r="L86" s="272"/>
      <c r="M86" s="395"/>
      <c r="N86" s="395"/>
      <c r="O86" s="395"/>
    </row>
    <row r="87" spans="1:15" s="366" customFormat="1" ht="15.75">
      <c r="A87" s="395"/>
      <c r="B87" s="360"/>
      <c r="C87" s="360"/>
      <c r="D87" s="395"/>
      <c r="E87" s="395"/>
      <c r="F87" s="396"/>
      <c r="G87" s="272"/>
      <c r="H87" s="272"/>
      <c r="I87" s="272"/>
      <c r="J87" s="272"/>
      <c r="K87" s="272"/>
      <c r="L87" s="272"/>
      <c r="M87" s="395"/>
      <c r="N87" s="395"/>
      <c r="O87" s="395"/>
    </row>
    <row r="88" spans="1:15" s="208" customFormat="1" ht="15.75" customHeight="1">
      <c r="A88" s="274"/>
      <c r="B88" s="883" t="s">
        <v>157</v>
      </c>
      <c r="C88" s="883"/>
      <c r="D88" s="274"/>
      <c r="E88" s="274"/>
      <c r="F88" s="221"/>
      <c r="G88" s="222"/>
      <c r="H88" s="222"/>
      <c r="I88" s="222"/>
      <c r="J88" s="222"/>
      <c r="K88" s="222"/>
      <c r="L88" s="222"/>
      <c r="M88" s="274"/>
      <c r="N88" s="274"/>
      <c r="O88" s="274"/>
    </row>
    <row r="89" spans="1:15" s="208" customFormat="1" ht="15.75">
      <c r="A89" s="274"/>
      <c r="B89" s="394" t="s">
        <v>255</v>
      </c>
      <c r="C89" s="394"/>
      <c r="D89" s="274"/>
      <c r="E89" s="274"/>
      <c r="F89" s="221"/>
      <c r="G89" s="222"/>
      <c r="H89" s="222"/>
      <c r="I89" s="222"/>
      <c r="J89" s="222"/>
      <c r="K89" s="222"/>
      <c r="L89" s="222"/>
      <c r="M89" s="274"/>
      <c r="N89" s="274"/>
      <c r="O89" s="274"/>
    </row>
    <row r="90" spans="1:21" ht="15" customHeight="1">
      <c r="A90" s="418"/>
      <c r="B90" s="945" t="s">
        <v>257</v>
      </c>
      <c r="C90" s="945"/>
      <c r="D90" s="945"/>
      <c r="E90" s="945"/>
      <c r="F90" s="945"/>
      <c r="G90" s="945"/>
      <c r="H90" s="945"/>
      <c r="I90" s="945"/>
      <c r="J90" s="945"/>
      <c r="K90" s="945"/>
      <c r="L90" s="945"/>
      <c r="M90" s="945"/>
      <c r="N90" s="419"/>
      <c r="O90" s="419"/>
      <c r="P90" s="418"/>
      <c r="Q90" s="418"/>
      <c r="R90" s="418"/>
      <c r="S90" s="418"/>
      <c r="T90" s="418"/>
      <c r="U90" s="418"/>
    </row>
    <row r="91" spans="1:21" ht="11.25" customHeight="1">
      <c r="A91" s="420"/>
      <c r="B91" s="420"/>
      <c r="C91" s="420"/>
      <c r="D91" s="939"/>
      <c r="E91" s="939"/>
      <c r="F91" s="939"/>
      <c r="G91" s="939"/>
      <c r="H91" s="939"/>
      <c r="I91" s="939"/>
      <c r="J91" s="939"/>
      <c r="K91" s="939"/>
      <c r="L91" s="939"/>
      <c r="M91" s="939"/>
      <c r="N91" s="939"/>
      <c r="O91" s="939"/>
      <c r="P91" s="939"/>
      <c r="Q91" s="939"/>
      <c r="R91" s="939"/>
      <c r="S91" s="939"/>
      <c r="T91" s="496"/>
      <c r="U91" s="496"/>
    </row>
    <row r="92" spans="1:15" ht="34.5" customHeight="1">
      <c r="A92" s="940" t="s">
        <v>105</v>
      </c>
      <c r="B92" s="941" t="s">
        <v>258</v>
      </c>
      <c r="C92" s="940" t="s">
        <v>107</v>
      </c>
      <c r="D92" s="942" t="s">
        <v>210</v>
      </c>
      <c r="E92" s="942"/>
      <c r="F92" s="942"/>
      <c r="G92" s="942"/>
      <c r="H92" s="942"/>
      <c r="I92" s="942"/>
      <c r="J92" s="943" t="s">
        <v>431</v>
      </c>
      <c r="K92" s="943"/>
      <c r="L92" s="943"/>
      <c r="M92" s="943"/>
      <c r="N92" s="943"/>
      <c r="O92" s="943"/>
    </row>
    <row r="93" spans="1:15" ht="61.5" customHeight="1">
      <c r="A93" s="940"/>
      <c r="B93" s="941"/>
      <c r="C93" s="941"/>
      <c r="D93" s="936" t="s">
        <v>260</v>
      </c>
      <c r="E93" s="937" t="s">
        <v>139</v>
      </c>
      <c r="F93" s="938" t="s">
        <v>140</v>
      </c>
      <c r="G93" s="944" t="s">
        <v>261</v>
      </c>
      <c r="H93" s="934" t="s">
        <v>15</v>
      </c>
      <c r="I93" s="934"/>
      <c r="J93" s="936" t="s">
        <v>262</v>
      </c>
      <c r="K93" s="937" t="s">
        <v>143</v>
      </c>
      <c r="L93" s="938" t="s">
        <v>263</v>
      </c>
      <c r="M93" s="933" t="s">
        <v>264</v>
      </c>
      <c r="N93" s="934" t="s">
        <v>15</v>
      </c>
      <c r="O93" s="934"/>
    </row>
    <row r="94" spans="1:15" ht="141.75" customHeight="1">
      <c r="A94" s="940"/>
      <c r="B94" s="941"/>
      <c r="C94" s="940"/>
      <c r="D94" s="936"/>
      <c r="E94" s="937"/>
      <c r="F94" s="938"/>
      <c r="G94" s="944"/>
      <c r="H94" s="497" t="s">
        <v>265</v>
      </c>
      <c r="I94" s="498" t="s">
        <v>266</v>
      </c>
      <c r="J94" s="936"/>
      <c r="K94" s="937"/>
      <c r="L94" s="938"/>
      <c r="M94" s="933"/>
      <c r="N94" s="497" t="s">
        <v>267</v>
      </c>
      <c r="O94" s="499" t="s">
        <v>268</v>
      </c>
    </row>
    <row r="95" spans="1:15" s="491" customFormat="1" ht="15">
      <c r="A95" s="500">
        <v>1</v>
      </c>
      <c r="B95" s="501">
        <f aca="true" t="shared" si="7" ref="B95:O95">A95+1</f>
        <v>2</v>
      </c>
      <c r="C95" s="501">
        <f t="shared" si="7"/>
        <v>3</v>
      </c>
      <c r="D95" s="501">
        <f t="shared" si="7"/>
        <v>4</v>
      </c>
      <c r="E95" s="501">
        <f t="shared" si="7"/>
        <v>5</v>
      </c>
      <c r="F95" s="501">
        <f t="shared" si="7"/>
        <v>6</v>
      </c>
      <c r="G95" s="500">
        <f t="shared" si="7"/>
        <v>7</v>
      </c>
      <c r="H95" s="500">
        <f t="shared" si="7"/>
        <v>8</v>
      </c>
      <c r="I95" s="500">
        <f t="shared" si="7"/>
        <v>9</v>
      </c>
      <c r="J95" s="501">
        <f t="shared" si="7"/>
        <v>10</v>
      </c>
      <c r="K95" s="501">
        <f t="shared" si="7"/>
        <v>11</v>
      </c>
      <c r="L95" s="501">
        <f t="shared" si="7"/>
        <v>12</v>
      </c>
      <c r="M95" s="500">
        <f t="shared" si="7"/>
        <v>13</v>
      </c>
      <c r="N95" s="500">
        <f t="shared" si="7"/>
        <v>14</v>
      </c>
      <c r="O95" s="500">
        <f t="shared" si="7"/>
        <v>15</v>
      </c>
    </row>
    <row r="96" spans="1:15" s="491" customFormat="1" ht="26.25" customHeight="1">
      <c r="A96" s="501">
        <v>1</v>
      </c>
      <c r="B96" s="501" t="str">
        <f>'норм. ХВС для ЦО (4-1) '!B109</f>
        <v>п.Рассвет</v>
      </c>
      <c r="C96" s="501" t="str">
        <f>'норм. ХВС для ЦО (4-1) '!C109</f>
        <v>ООО «Жилбытсервис»</v>
      </c>
      <c r="D96" s="502">
        <v>50.09</v>
      </c>
      <c r="E96" s="502">
        <v>50.09</v>
      </c>
      <c r="F96" s="503">
        <f>ROUND(E96/D96*100,1)</f>
        <v>100</v>
      </c>
      <c r="G96" s="504">
        <f>'норм. ХВС для ЦО (4-1) '!J109</f>
        <v>0.52328</v>
      </c>
      <c r="H96" s="505">
        <f>ROUND(D96*G96,3)</f>
        <v>26.211</v>
      </c>
      <c r="I96" s="505">
        <f>ROUND(E96*G96,3)</f>
        <v>26.211</v>
      </c>
      <c r="J96" s="502">
        <v>52.04</v>
      </c>
      <c r="K96" s="502">
        <v>52.04</v>
      </c>
      <c r="L96" s="503">
        <f>ROUND(K96/J96*100,1)</f>
        <v>100</v>
      </c>
      <c r="M96" s="504">
        <f>'норм. ХВС для ЦО (4-1) '!O109</f>
        <v>0.52328</v>
      </c>
      <c r="N96" s="505">
        <f>ROUND(J96*M96,3)</f>
        <v>27.231</v>
      </c>
      <c r="O96" s="505">
        <f>ROUND(K96*M96,3)</f>
        <v>27.231</v>
      </c>
    </row>
    <row r="97" spans="1:15" s="491" customFormat="1" ht="27" customHeight="1">
      <c r="A97" s="501">
        <v>2</v>
      </c>
      <c r="B97" s="501"/>
      <c r="C97" s="501"/>
      <c r="D97" s="502">
        <v>50.09</v>
      </c>
      <c r="E97" s="502">
        <v>50.09</v>
      </c>
      <c r="F97" s="503">
        <f>ROUND(E97/D97*100,1)</f>
        <v>100</v>
      </c>
      <c r="G97" s="504">
        <f>'норм. ХВС для ЦО (4-1) '!J110</f>
        <v>0.01048</v>
      </c>
      <c r="H97" s="505">
        <f>ROUND(D97*G97,3)</f>
        <v>0.525</v>
      </c>
      <c r="I97" s="505">
        <f>ROUND(E97*G97,3)</f>
        <v>0.525</v>
      </c>
      <c r="J97" s="502">
        <v>52.04</v>
      </c>
      <c r="K97" s="502">
        <v>52.04</v>
      </c>
      <c r="L97" s="503">
        <f>ROUND(K97/J97*100,1)</f>
        <v>100</v>
      </c>
      <c r="M97" s="504">
        <f>'норм. ХВС для ЦО (4-1) '!O110</f>
        <v>0.01048</v>
      </c>
      <c r="N97" s="505">
        <f>ROUND(J97*M97,3)</f>
        <v>0.545</v>
      </c>
      <c r="O97" s="505">
        <f>ROUND(K97*M97,3)</f>
        <v>0.545</v>
      </c>
    </row>
    <row r="98" spans="1:15" ht="15">
      <c r="A98" s="798">
        <v>3</v>
      </c>
      <c r="B98" s="501"/>
      <c r="C98" s="501"/>
      <c r="D98" s="502">
        <v>50.09</v>
      </c>
      <c r="E98" s="502">
        <v>50.09</v>
      </c>
      <c r="F98" s="503">
        <f>ROUND(E98/D98*100,1)</f>
        <v>100</v>
      </c>
      <c r="G98" s="504">
        <f>'норм. ХВС для ЦО (4-1) '!J114</f>
        <v>242.515</v>
      </c>
      <c r="H98" s="505">
        <f>ROUND(D98*G98,3)</f>
        <v>12147.576</v>
      </c>
      <c r="I98" s="505">
        <f>ROUND(E98*G98,3)</f>
        <v>12147.576</v>
      </c>
      <c r="J98" s="502">
        <v>52.04</v>
      </c>
      <c r="K98" s="502">
        <v>52.04</v>
      </c>
      <c r="L98" s="503">
        <f>ROUND(K98/J98*100,1)</f>
        <v>100</v>
      </c>
      <c r="M98" s="504">
        <f>'норм. ХВС для ЦО (4-1) '!O114</f>
        <v>242.515</v>
      </c>
      <c r="N98" s="505">
        <f>ROUND(J98*M98,3)</f>
        <v>12620.481</v>
      </c>
      <c r="O98" s="505">
        <f>ROUND(K98*M98,3)</f>
        <v>12620.481</v>
      </c>
    </row>
    <row r="99" spans="1:15" ht="15">
      <c r="A99" s="507"/>
      <c r="B99" s="501"/>
      <c r="C99" s="501"/>
      <c r="D99" s="508"/>
      <c r="E99" s="502"/>
      <c r="F99" s="503"/>
      <c r="G99" s="504"/>
      <c r="H99" s="505"/>
      <c r="I99" s="505"/>
      <c r="J99" s="508"/>
      <c r="K99" s="502"/>
      <c r="L99" s="503"/>
      <c r="M99" s="504"/>
      <c r="N99" s="505"/>
      <c r="O99" s="505"/>
    </row>
    <row r="100" spans="1:15" s="512" customFormat="1" ht="29.25" customHeight="1">
      <c r="A100" s="509"/>
      <c r="B100" s="935" t="s">
        <v>246</v>
      </c>
      <c r="C100" s="935"/>
      <c r="D100" s="510">
        <f>ROUND(H100/G100,6)</f>
        <v>50.089998</v>
      </c>
      <c r="E100" s="510">
        <f>ROUND(I100/G100,6)</f>
        <v>50.089998</v>
      </c>
      <c r="F100" s="503">
        <f>ROUND(E100/D100*100,1)</f>
        <v>100</v>
      </c>
      <c r="G100" s="511">
        <f>SUM(G96:G99)</f>
        <v>243.04876</v>
      </c>
      <c r="H100" s="511">
        <f>SUM(H96:H99)</f>
        <v>12174.312</v>
      </c>
      <c r="I100" s="511">
        <f>SUM(I96:I99)</f>
        <v>12174.312</v>
      </c>
      <c r="J100" s="510">
        <f>ROUND(N100/M100,6)</f>
        <v>52.039998</v>
      </c>
      <c r="K100" s="510">
        <f>ROUND(O100/M100,6)</f>
        <v>52.039998</v>
      </c>
      <c r="L100" s="503">
        <f>ROUND(K100/J100*100,1)</f>
        <v>100</v>
      </c>
      <c r="M100" s="511">
        <f>SUM(M96:M99)</f>
        <v>243.04876</v>
      </c>
      <c r="N100" s="511">
        <f>SUM(N96:N99)</f>
        <v>12648.257</v>
      </c>
      <c r="O100" s="511">
        <f>SUM(O96:O99)</f>
        <v>12648.257</v>
      </c>
    </row>
    <row r="101" spans="1:12" ht="75">
      <c r="A101" s="513"/>
      <c r="C101" s="514" t="s">
        <v>269</v>
      </c>
      <c r="D101" s="515" t="s">
        <v>270</v>
      </c>
      <c r="E101" s="515" t="s">
        <v>271</v>
      </c>
      <c r="F101" s="516"/>
      <c r="J101" s="515" t="s">
        <v>272</v>
      </c>
      <c r="K101" s="515" t="s">
        <v>273</v>
      </c>
      <c r="L101" s="516"/>
    </row>
    <row r="102" spans="1:18" ht="15">
      <c r="A102" s="513"/>
      <c r="C102" s="514"/>
      <c r="D102" s="517"/>
      <c r="E102" s="517"/>
      <c r="F102" s="516"/>
      <c r="P102" s="517"/>
      <c r="Q102" s="517"/>
      <c r="R102" s="517"/>
    </row>
    <row r="103" spans="1:21" ht="15" customHeight="1">
      <c r="A103" s="418"/>
      <c r="B103" s="518" t="s">
        <v>247</v>
      </c>
      <c r="C103" s="418"/>
      <c r="D103" s="418"/>
      <c r="E103" s="418"/>
      <c r="F103" s="5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8"/>
      <c r="Q103" s="418"/>
      <c r="R103" s="418"/>
      <c r="S103" s="418"/>
      <c r="T103" s="418"/>
      <c r="U103" s="418"/>
    </row>
    <row r="104" spans="1:21" ht="11.25" customHeight="1">
      <c r="A104" s="420"/>
      <c r="B104" s="420"/>
      <c r="C104" s="420"/>
      <c r="D104" s="939"/>
      <c r="E104" s="939"/>
      <c r="F104" s="939"/>
      <c r="G104" s="939"/>
      <c r="H104" s="939"/>
      <c r="I104" s="939"/>
      <c r="J104" s="939"/>
      <c r="K104" s="939"/>
      <c r="L104" s="939"/>
      <c r="M104" s="939"/>
      <c r="N104" s="939"/>
      <c r="O104" s="939"/>
      <c r="P104" s="939"/>
      <c r="Q104" s="939"/>
      <c r="R104" s="939"/>
      <c r="S104" s="939"/>
      <c r="T104" s="496"/>
      <c r="U104" s="496"/>
    </row>
    <row r="105" spans="1:15" ht="34.5" customHeight="1">
      <c r="A105" s="940" t="s">
        <v>105</v>
      </c>
      <c r="B105" s="941" t="s">
        <v>258</v>
      </c>
      <c r="C105" s="940" t="s">
        <v>107</v>
      </c>
      <c r="D105" s="942" t="s">
        <v>210</v>
      </c>
      <c r="E105" s="942"/>
      <c r="F105" s="942"/>
      <c r="G105" s="942"/>
      <c r="H105" s="942"/>
      <c r="I105" s="942"/>
      <c r="J105" s="943" t="s">
        <v>431</v>
      </c>
      <c r="K105" s="943"/>
      <c r="L105" s="943"/>
      <c r="M105" s="943"/>
      <c r="N105" s="943"/>
      <c r="O105" s="943"/>
    </row>
    <row r="106" spans="1:15" ht="58.5" customHeight="1">
      <c r="A106" s="940"/>
      <c r="B106" s="941"/>
      <c r="C106" s="941"/>
      <c r="D106" s="936" t="s">
        <v>260</v>
      </c>
      <c r="E106" s="937" t="s">
        <v>139</v>
      </c>
      <c r="F106" s="938" t="s">
        <v>140</v>
      </c>
      <c r="G106" s="933" t="s">
        <v>274</v>
      </c>
      <c r="H106" s="934" t="s">
        <v>15</v>
      </c>
      <c r="I106" s="934"/>
      <c r="J106" s="936" t="s">
        <v>262</v>
      </c>
      <c r="K106" s="937" t="s">
        <v>143</v>
      </c>
      <c r="L106" s="938" t="s">
        <v>263</v>
      </c>
      <c r="M106" s="933" t="s">
        <v>275</v>
      </c>
      <c r="N106" s="934" t="s">
        <v>15</v>
      </c>
      <c r="O106" s="934"/>
    </row>
    <row r="107" spans="1:15" ht="141.75" customHeight="1">
      <c r="A107" s="940"/>
      <c r="B107" s="941"/>
      <c r="C107" s="940"/>
      <c r="D107" s="936"/>
      <c r="E107" s="937"/>
      <c r="F107" s="938"/>
      <c r="G107" s="933"/>
      <c r="H107" s="497" t="s">
        <v>265</v>
      </c>
      <c r="I107" s="498" t="s">
        <v>266</v>
      </c>
      <c r="J107" s="936"/>
      <c r="K107" s="937"/>
      <c r="L107" s="938"/>
      <c r="M107" s="933"/>
      <c r="N107" s="497" t="s">
        <v>267</v>
      </c>
      <c r="O107" s="497" t="s">
        <v>276</v>
      </c>
    </row>
    <row r="108" spans="1:15" s="491" customFormat="1" ht="15">
      <c r="A108" s="500">
        <v>1</v>
      </c>
      <c r="B108" s="501">
        <f aca="true" t="shared" si="8" ref="B108:O108">A108+1</f>
        <v>2</v>
      </c>
      <c r="C108" s="501">
        <f t="shared" si="8"/>
        <v>3</v>
      </c>
      <c r="D108" s="501">
        <f t="shared" si="8"/>
        <v>4</v>
      </c>
      <c r="E108" s="501">
        <f t="shared" si="8"/>
        <v>5</v>
      </c>
      <c r="F108" s="501">
        <f t="shared" si="8"/>
        <v>6</v>
      </c>
      <c r="G108" s="500">
        <f t="shared" si="8"/>
        <v>7</v>
      </c>
      <c r="H108" s="500">
        <f t="shared" si="8"/>
        <v>8</v>
      </c>
      <c r="I108" s="500">
        <f t="shared" si="8"/>
        <v>9</v>
      </c>
      <c r="J108" s="501">
        <f t="shared" si="8"/>
        <v>10</v>
      </c>
      <c r="K108" s="501">
        <f t="shared" si="8"/>
        <v>11</v>
      </c>
      <c r="L108" s="501">
        <f t="shared" si="8"/>
        <v>12</v>
      </c>
      <c r="M108" s="500">
        <f t="shared" si="8"/>
        <v>13</v>
      </c>
      <c r="N108" s="500">
        <f t="shared" si="8"/>
        <v>14</v>
      </c>
      <c r="O108" s="500">
        <f t="shared" si="8"/>
        <v>15</v>
      </c>
    </row>
    <row r="109" spans="1:15" s="491" customFormat="1" ht="26.25" customHeight="1">
      <c r="A109" s="501">
        <v>1</v>
      </c>
      <c r="B109" s="501">
        <f>'норм. ХВС для ЦО (4-1) '!B126</f>
        <v>0</v>
      </c>
      <c r="C109" s="501">
        <f>'норм. ХВС для ЦО (4-1) '!C126</f>
        <v>0</v>
      </c>
      <c r="D109" s="502"/>
      <c r="E109" s="502"/>
      <c r="F109" s="503" t="e">
        <f>ROUND(E109/D109*100,1)</f>
        <v>#DIV/0!</v>
      </c>
      <c r="G109" s="504">
        <f>'норм. ХВС для ЦО (4-1) '!J126</f>
        <v>0</v>
      </c>
      <c r="H109" s="505">
        <f>ROUND(D109*G109,3)</f>
        <v>0</v>
      </c>
      <c r="I109" s="505">
        <f>ROUND(E109*G109,3)</f>
        <v>0</v>
      </c>
      <c r="J109" s="502"/>
      <c r="K109" s="502"/>
      <c r="L109" s="503" t="e">
        <f>ROUND(K109/J109*100,1)</f>
        <v>#DIV/0!</v>
      </c>
      <c r="M109" s="504">
        <f>'норм. ХВС для ЦО (4-1) '!O126</f>
        <v>0</v>
      </c>
      <c r="N109" s="505">
        <f>ROUND(J109*M109,3)</f>
        <v>0</v>
      </c>
      <c r="O109" s="505">
        <f>ROUND(K109*M109,3)</f>
        <v>0</v>
      </c>
    </row>
    <row r="110" spans="1:15" s="491" customFormat="1" ht="15">
      <c r="A110" s="501"/>
      <c r="B110" s="501">
        <f>'норм. ХВС для ЦО (4-1) '!B127</f>
        <v>0</v>
      </c>
      <c r="C110" s="501">
        <f>'норм. ХВС для ЦО (4-1) '!C127</f>
        <v>0</v>
      </c>
      <c r="D110" s="502"/>
      <c r="E110" s="502"/>
      <c r="F110" s="503" t="e">
        <f>ROUND(E110/D110*100,1)</f>
        <v>#DIV/0!</v>
      </c>
      <c r="G110" s="504">
        <f>'норм. ХВС для ЦО (4-1) '!J127</f>
        <v>0</v>
      </c>
      <c r="H110" s="505">
        <f>ROUND(D110*G110,3)</f>
        <v>0</v>
      </c>
      <c r="I110" s="505">
        <f>ROUND(E110*G110,3)</f>
        <v>0</v>
      </c>
      <c r="J110" s="502"/>
      <c r="K110" s="502"/>
      <c r="L110" s="503" t="e">
        <f>ROUND(K110/J110*100,1)</f>
        <v>#DIV/0!</v>
      </c>
      <c r="M110" s="504">
        <f>'норм. ХВС для ЦО (4-1) '!O127</f>
        <v>0</v>
      </c>
      <c r="N110" s="505">
        <f>ROUND(J110*M110,3)</f>
        <v>0</v>
      </c>
      <c r="O110" s="505">
        <f>ROUND(K110*M110,3)</f>
        <v>0</v>
      </c>
    </row>
    <row r="111" spans="1:15" ht="15">
      <c r="A111" s="506"/>
      <c r="B111" s="501">
        <f>'норм. ХВС для ЦО (4-1) '!B128</f>
        <v>0</v>
      </c>
      <c r="C111" s="501">
        <f>'норм. ХВС для ЦО (4-1) '!C128</f>
        <v>0</v>
      </c>
      <c r="D111" s="520"/>
      <c r="E111" s="502"/>
      <c r="F111" s="503"/>
      <c r="G111" s="504">
        <f>'норм. ХВС для ЦО (4-1) '!J128</f>
        <v>0</v>
      </c>
      <c r="H111" s="505"/>
      <c r="I111" s="505"/>
      <c r="J111" s="520"/>
      <c r="K111" s="502"/>
      <c r="L111" s="503"/>
      <c r="M111" s="504">
        <f>'норм. ХВС для ЦО (4-1) '!O128</f>
        <v>0</v>
      </c>
      <c r="N111" s="505">
        <f>ROUND(J111*M111,3)</f>
        <v>0</v>
      </c>
      <c r="O111" s="505">
        <f>ROUND(K111*M111,3)</f>
        <v>0</v>
      </c>
    </row>
    <row r="112" spans="1:15" ht="15">
      <c r="A112" s="507"/>
      <c r="B112" s="501"/>
      <c r="C112" s="501"/>
      <c r="D112" s="508"/>
      <c r="E112" s="502"/>
      <c r="F112" s="503"/>
      <c r="G112" s="504">
        <f>'норм. ХВС для ЦО (4-1) '!J129</f>
        <v>0</v>
      </c>
      <c r="H112" s="505"/>
      <c r="I112" s="505"/>
      <c r="J112" s="508"/>
      <c r="K112" s="502"/>
      <c r="L112" s="503"/>
      <c r="M112" s="504">
        <f>'норм. ХВС для ЦО (4-1) '!O129</f>
        <v>0</v>
      </c>
      <c r="N112" s="505"/>
      <c r="O112" s="505"/>
    </row>
    <row r="113" spans="1:15" s="512" customFormat="1" ht="36.75" customHeight="1">
      <c r="A113" s="509"/>
      <c r="B113" s="935" t="s">
        <v>246</v>
      </c>
      <c r="C113" s="935"/>
      <c r="D113" s="510" t="e">
        <f>ROUND(H113/G113,6)</f>
        <v>#DIV/0!</v>
      </c>
      <c r="E113" s="510" t="e">
        <f>ROUND(I113/G113,6)</f>
        <v>#DIV/0!</v>
      </c>
      <c r="F113" s="503" t="e">
        <f>ROUND(E113/D113*100,1)</f>
        <v>#DIV/0!</v>
      </c>
      <c r="G113" s="511">
        <f>SUM(G109:G112)</f>
        <v>0</v>
      </c>
      <c r="H113" s="511">
        <f>SUM(H109:H112)</f>
        <v>0</v>
      </c>
      <c r="I113" s="511">
        <f>SUM(I109:I112)</f>
        <v>0</v>
      </c>
      <c r="J113" s="510" t="e">
        <f>ROUND(N113/M113,6)</f>
        <v>#DIV/0!</v>
      </c>
      <c r="K113" s="510" t="e">
        <f>ROUND(O113/M113,6)</f>
        <v>#DIV/0!</v>
      </c>
      <c r="L113" s="503" t="e">
        <f>ROUND(K113/J113*100,1)</f>
        <v>#DIV/0!</v>
      </c>
      <c r="M113" s="511">
        <f>SUM(M109:M112)</f>
        <v>0</v>
      </c>
      <c r="N113" s="511">
        <f>SUM(N109:N112)</f>
        <v>0</v>
      </c>
      <c r="O113" s="511">
        <f>SUM(O109:O112)</f>
        <v>0</v>
      </c>
    </row>
    <row r="114" spans="1:12" ht="75">
      <c r="A114" s="513"/>
      <c r="C114" s="514" t="s">
        <v>269</v>
      </c>
      <c r="D114" s="515" t="s">
        <v>270</v>
      </c>
      <c r="E114" s="515" t="s">
        <v>271</v>
      </c>
      <c r="F114" s="516"/>
      <c r="J114" s="515" t="s">
        <v>272</v>
      </c>
      <c r="K114" s="515" t="s">
        <v>273</v>
      </c>
      <c r="L114" s="516"/>
    </row>
    <row r="115" spans="1:15" s="366" customFormat="1" ht="15.75">
      <c r="A115" s="395"/>
      <c r="B115" s="360"/>
      <c r="C115" s="360"/>
      <c r="D115" s="395"/>
      <c r="E115" s="395"/>
      <c r="F115" s="396"/>
      <c r="G115" s="272"/>
      <c r="H115" s="272"/>
      <c r="I115" s="272"/>
      <c r="J115" s="272"/>
      <c r="K115" s="272"/>
      <c r="L115" s="272"/>
      <c r="M115" s="395"/>
      <c r="N115" s="395"/>
      <c r="O115" s="395"/>
    </row>
    <row r="116" spans="1:15" s="366" customFormat="1" ht="15.75">
      <c r="A116" s="395"/>
      <c r="B116" s="360"/>
      <c r="C116" s="360"/>
      <c r="D116" s="395"/>
      <c r="E116" s="395"/>
      <c r="F116" s="396"/>
      <c r="G116" s="272"/>
      <c r="H116" s="272"/>
      <c r="I116" s="272"/>
      <c r="J116" s="272"/>
      <c r="K116" s="272"/>
      <c r="L116" s="272"/>
      <c r="M116" s="395"/>
      <c r="N116" s="395"/>
      <c r="O116" s="395"/>
    </row>
    <row r="117" spans="1:15" s="366" customFormat="1" ht="15.75">
      <c r="A117" s="395"/>
      <c r="B117" s="360"/>
      <c r="C117" s="360"/>
      <c r="D117" s="395"/>
      <c r="E117" s="395"/>
      <c r="F117" s="396"/>
      <c r="G117" s="272"/>
      <c r="H117" s="272"/>
      <c r="I117" s="272"/>
      <c r="J117" s="272"/>
      <c r="K117" s="272"/>
      <c r="L117" s="272"/>
      <c r="M117" s="395"/>
      <c r="N117" s="395"/>
      <c r="O117" s="395"/>
    </row>
    <row r="118" spans="2:6" s="490" customFormat="1" ht="18.75">
      <c r="B118" s="802" t="s">
        <v>422</v>
      </c>
      <c r="C118" s="803"/>
      <c r="D118" s="803" t="s">
        <v>423</v>
      </c>
      <c r="E118" s="809"/>
      <c r="F118" s="804"/>
    </row>
    <row r="119" spans="2:6" s="490" customFormat="1" ht="18.75">
      <c r="B119" s="802"/>
      <c r="C119" s="802"/>
      <c r="D119" s="802"/>
      <c r="E119" s="802"/>
      <c r="F119" s="804" t="s">
        <v>97</v>
      </c>
    </row>
    <row r="120" spans="2:6" s="490" customFormat="1" ht="18.75">
      <c r="B120" s="802" t="s">
        <v>98</v>
      </c>
      <c r="C120" s="803" t="s">
        <v>424</v>
      </c>
      <c r="D120" s="803"/>
      <c r="E120" s="803"/>
      <c r="F120" s="804"/>
    </row>
    <row r="121" spans="2:6" s="490" customFormat="1" ht="18.75">
      <c r="B121" s="802" t="s">
        <v>421</v>
      </c>
      <c r="C121" s="808" t="s">
        <v>425</v>
      </c>
      <c r="D121" s="807"/>
      <c r="E121" s="807"/>
      <c r="F121" s="804"/>
    </row>
  </sheetData>
  <sheetProtection selectLockedCells="1" selectUnlockedCells="1"/>
  <mergeCells count="147">
    <mergeCell ref="B6:M6"/>
    <mergeCell ref="D7:S7"/>
    <mergeCell ref="R1:S1"/>
    <mergeCell ref="B2:O2"/>
    <mergeCell ref="B3:O3"/>
    <mergeCell ref="B4:C4"/>
    <mergeCell ref="E9:E10"/>
    <mergeCell ref="F9:F10"/>
    <mergeCell ref="L9:L10"/>
    <mergeCell ref="M9:M10"/>
    <mergeCell ref="N9:O9"/>
    <mergeCell ref="K9:K10"/>
    <mergeCell ref="B16:C16"/>
    <mergeCell ref="G9:G10"/>
    <mergeCell ref="H9:I9"/>
    <mergeCell ref="J9:J10"/>
    <mergeCell ref="A8:A10"/>
    <mergeCell ref="B8:B10"/>
    <mergeCell ref="C8:C10"/>
    <mergeCell ref="D8:I8"/>
    <mergeCell ref="J8:O8"/>
    <mergeCell ref="D9:D10"/>
    <mergeCell ref="D20:S20"/>
    <mergeCell ref="A21:A23"/>
    <mergeCell ref="B21:B23"/>
    <mergeCell ref="C21:C23"/>
    <mergeCell ref="D21:I21"/>
    <mergeCell ref="J21:O21"/>
    <mergeCell ref="D22:D23"/>
    <mergeCell ref="E22:E23"/>
    <mergeCell ref="F22:F23"/>
    <mergeCell ref="G22:G23"/>
    <mergeCell ref="M22:M23"/>
    <mergeCell ref="N22:O22"/>
    <mergeCell ref="B29:C29"/>
    <mergeCell ref="B32:C32"/>
    <mergeCell ref="H22:I22"/>
    <mergeCell ref="J22:J23"/>
    <mergeCell ref="K22:K23"/>
    <mergeCell ref="L22:L23"/>
    <mergeCell ref="B34:M34"/>
    <mergeCell ref="D35:S35"/>
    <mergeCell ref="A36:A38"/>
    <mergeCell ref="B36:B38"/>
    <mergeCell ref="C36:C38"/>
    <mergeCell ref="D36:I36"/>
    <mergeCell ref="J36:O36"/>
    <mergeCell ref="D37:D38"/>
    <mergeCell ref="E37:E38"/>
    <mergeCell ref="F37:F38"/>
    <mergeCell ref="L37:L38"/>
    <mergeCell ref="M37:M38"/>
    <mergeCell ref="N37:O37"/>
    <mergeCell ref="B44:C44"/>
    <mergeCell ref="G37:G38"/>
    <mergeCell ref="H37:I37"/>
    <mergeCell ref="J37:J38"/>
    <mergeCell ref="K37:K38"/>
    <mergeCell ref="D48:S48"/>
    <mergeCell ref="A49:A51"/>
    <mergeCell ref="B49:B51"/>
    <mergeCell ref="C49:C51"/>
    <mergeCell ref="D49:I49"/>
    <mergeCell ref="J49:O49"/>
    <mergeCell ref="D50:D51"/>
    <mergeCell ref="E50:E51"/>
    <mergeCell ref="F50:F51"/>
    <mergeCell ref="G50:G51"/>
    <mergeCell ref="M50:M51"/>
    <mergeCell ref="N50:O50"/>
    <mergeCell ref="B57:C57"/>
    <mergeCell ref="B59:C59"/>
    <mergeCell ref="H50:I50"/>
    <mergeCell ref="J50:J51"/>
    <mergeCell ref="K50:K51"/>
    <mergeCell ref="L50:L51"/>
    <mergeCell ref="B61:M61"/>
    <mergeCell ref="D62:S62"/>
    <mergeCell ref="A63:A65"/>
    <mergeCell ref="B63:B65"/>
    <mergeCell ref="C63:C65"/>
    <mergeCell ref="D63:I63"/>
    <mergeCell ref="J63:O63"/>
    <mergeCell ref="D64:D65"/>
    <mergeCell ref="E64:E65"/>
    <mergeCell ref="F64:F65"/>
    <mergeCell ref="L64:L65"/>
    <mergeCell ref="M64:M65"/>
    <mergeCell ref="N64:O64"/>
    <mergeCell ref="B71:C71"/>
    <mergeCell ref="G64:G65"/>
    <mergeCell ref="H64:I64"/>
    <mergeCell ref="J64:J65"/>
    <mergeCell ref="K64:K65"/>
    <mergeCell ref="D75:S75"/>
    <mergeCell ref="A76:A78"/>
    <mergeCell ref="B76:B78"/>
    <mergeCell ref="C76:C78"/>
    <mergeCell ref="D76:I76"/>
    <mergeCell ref="J76:O76"/>
    <mergeCell ref="D77:D78"/>
    <mergeCell ref="E77:E78"/>
    <mergeCell ref="F77:F78"/>
    <mergeCell ref="G77:G78"/>
    <mergeCell ref="M77:M78"/>
    <mergeCell ref="N77:O77"/>
    <mergeCell ref="B84:C84"/>
    <mergeCell ref="B88:C88"/>
    <mergeCell ref="H77:I77"/>
    <mergeCell ref="J77:J78"/>
    <mergeCell ref="K77:K78"/>
    <mergeCell ref="L77:L78"/>
    <mergeCell ref="B90:M90"/>
    <mergeCell ref="D91:S91"/>
    <mergeCell ref="A92:A94"/>
    <mergeCell ref="B92:B94"/>
    <mergeCell ref="C92:C94"/>
    <mergeCell ref="D92:I92"/>
    <mergeCell ref="J92:O92"/>
    <mergeCell ref="D93:D94"/>
    <mergeCell ref="E93:E94"/>
    <mergeCell ref="F93:F94"/>
    <mergeCell ref="L93:L94"/>
    <mergeCell ref="M93:M94"/>
    <mergeCell ref="N93:O93"/>
    <mergeCell ref="B100:C100"/>
    <mergeCell ref="G93:G94"/>
    <mergeCell ref="H93:I93"/>
    <mergeCell ref="J93:J94"/>
    <mergeCell ref="K93:K94"/>
    <mergeCell ref="D104:S104"/>
    <mergeCell ref="A105:A107"/>
    <mergeCell ref="B105:B107"/>
    <mergeCell ref="C105:C107"/>
    <mergeCell ref="D105:I105"/>
    <mergeCell ref="J105:O105"/>
    <mergeCell ref="D106:D107"/>
    <mergeCell ref="E106:E107"/>
    <mergeCell ref="F106:F107"/>
    <mergeCell ref="G106:G107"/>
    <mergeCell ref="M106:M107"/>
    <mergeCell ref="N106:O106"/>
    <mergeCell ref="B113:C113"/>
    <mergeCell ref="H106:I106"/>
    <mergeCell ref="J106:J107"/>
    <mergeCell ref="K106:K107"/>
    <mergeCell ref="L106:L10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8" r:id="rId1"/>
  <rowBreaks count="3" manualBreakCount="3">
    <brk id="30" max="14" man="1"/>
    <brk id="58" max="14" man="1"/>
    <brk id="85" max="14" man="1"/>
  </rowBreaks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V139"/>
  <sheetViews>
    <sheetView view="pageBreakPreview" zoomScale="86" zoomScaleNormal="80" zoomScaleSheetLayoutView="86" zoomScalePageLayoutView="0" workbookViewId="0" topLeftCell="A1">
      <selection activeCell="G14" sqref="G14"/>
    </sheetView>
  </sheetViews>
  <sheetFormatPr defaultColWidth="9.00390625" defaultRowHeight="12.75"/>
  <cols>
    <col min="1" max="1" width="4.25390625" style="208" customWidth="1"/>
    <col min="2" max="2" width="22.875" style="208" customWidth="1"/>
    <col min="3" max="3" width="21.00390625" style="208" customWidth="1"/>
    <col min="4" max="4" width="16.875" style="208" customWidth="1"/>
    <col min="5" max="5" width="13.00390625" style="208" customWidth="1"/>
    <col min="6" max="6" width="11.625" style="208" customWidth="1"/>
    <col min="7" max="7" width="21.00390625" style="208" customWidth="1"/>
    <col min="8" max="8" width="11.625" style="0" customWidth="1"/>
    <col min="9" max="9" width="11.75390625" style="0" customWidth="1"/>
    <col min="10" max="10" width="12.00390625" style="0" customWidth="1"/>
    <col min="11" max="11" width="11.875" style="0" customWidth="1"/>
    <col min="12" max="12" width="18.375" style="0" customWidth="1"/>
    <col min="13" max="13" width="13.75390625" style="0" customWidth="1"/>
    <col min="14" max="14" width="14.375" style="0" customWidth="1"/>
  </cols>
  <sheetData>
    <row r="1" spans="12:14" ht="12.75">
      <c r="L1" s="953"/>
      <c r="M1" s="953"/>
      <c r="N1" s="414" t="s">
        <v>278</v>
      </c>
    </row>
    <row r="2" spans="2:14" s="415" customFormat="1" ht="33.75" customHeight="1">
      <c r="B2" s="954" t="s">
        <v>449</v>
      </c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</row>
    <row r="3" spans="2:14" s="416" customFormat="1" ht="26.25" customHeight="1">
      <c r="B3" s="932" t="s">
        <v>213</v>
      </c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</row>
    <row r="4" spans="2:14" s="415" customFormat="1" ht="21.75" customHeight="1"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</row>
    <row r="5" spans="1:15" s="208" customFormat="1" ht="15.75">
      <c r="A5" s="274"/>
      <c r="B5" s="275" t="s">
        <v>136</v>
      </c>
      <c r="C5" s="275"/>
      <c r="D5" s="274"/>
      <c r="E5" s="274"/>
      <c r="F5" s="221"/>
      <c r="G5" s="222"/>
      <c r="H5" s="222"/>
      <c r="I5" s="222"/>
      <c r="J5" s="222"/>
      <c r="K5" s="222"/>
      <c r="L5" s="222"/>
      <c r="M5" s="274"/>
      <c r="N5" s="274"/>
      <c r="O5" s="274"/>
    </row>
    <row r="6" spans="1:15" s="208" customFormat="1" ht="15.75">
      <c r="A6" s="274"/>
      <c r="B6" s="275" t="s">
        <v>132</v>
      </c>
      <c r="C6" s="275"/>
      <c r="D6" s="274"/>
      <c r="E6" s="274"/>
      <c r="F6" s="221"/>
      <c r="G6" s="222"/>
      <c r="H6" s="222"/>
      <c r="I6" s="222"/>
      <c r="J6" s="222"/>
      <c r="K6" s="222"/>
      <c r="L6" s="222"/>
      <c r="M6" s="274"/>
      <c r="N6" s="274"/>
      <c r="O6" s="274"/>
    </row>
    <row r="7" spans="2:14" s="491" customFormat="1" ht="20.25" customHeight="1">
      <c r="B7" s="522" t="s">
        <v>168</v>
      </c>
      <c r="E7" s="523"/>
      <c r="F7" s="523"/>
      <c r="G7" s="523"/>
      <c r="H7" s="523"/>
      <c r="I7" s="523"/>
      <c r="J7" s="523"/>
      <c r="K7" s="523"/>
      <c r="L7" s="523"/>
      <c r="M7" s="523"/>
      <c r="N7" s="524"/>
    </row>
    <row r="8" spans="1:14" s="460" customFormat="1" ht="34.5" customHeight="1">
      <c r="A8" s="889" t="s">
        <v>105</v>
      </c>
      <c r="B8" s="952" t="s">
        <v>279</v>
      </c>
      <c r="C8" s="889" t="s">
        <v>107</v>
      </c>
      <c r="D8" s="889" t="s">
        <v>108</v>
      </c>
      <c r="E8" s="890" t="s">
        <v>137</v>
      </c>
      <c r="F8" s="890"/>
      <c r="G8" s="890"/>
      <c r="H8" s="890"/>
      <c r="I8" s="890"/>
      <c r="J8" s="903" t="s">
        <v>438</v>
      </c>
      <c r="K8" s="903"/>
      <c r="L8" s="903"/>
      <c r="M8" s="903"/>
      <c r="N8" s="903"/>
    </row>
    <row r="9" spans="1:14" s="460" customFormat="1" ht="86.25" customHeight="1">
      <c r="A9" s="889"/>
      <c r="B9" s="952"/>
      <c r="C9" s="889"/>
      <c r="D9" s="889"/>
      <c r="E9" s="525" t="s">
        <v>280</v>
      </c>
      <c r="F9" s="525" t="s">
        <v>111</v>
      </c>
      <c r="G9" s="525" t="s">
        <v>281</v>
      </c>
      <c r="H9" s="525" t="s">
        <v>240</v>
      </c>
      <c r="I9" s="525" t="s">
        <v>282</v>
      </c>
      <c r="J9" s="525" t="s">
        <v>280</v>
      </c>
      <c r="K9" s="525" t="s">
        <v>111</v>
      </c>
      <c r="L9" s="525" t="s">
        <v>281</v>
      </c>
      <c r="M9" s="526" t="s">
        <v>283</v>
      </c>
      <c r="N9" s="526" t="s">
        <v>284</v>
      </c>
    </row>
    <row r="10" spans="1:14" s="464" customFormat="1" ht="33.75" customHeight="1">
      <c r="A10" s="889"/>
      <c r="B10" s="952"/>
      <c r="C10" s="889"/>
      <c r="D10" s="889"/>
      <c r="E10" s="525" t="s">
        <v>243</v>
      </c>
      <c r="F10" s="525" t="s">
        <v>117</v>
      </c>
      <c r="G10" s="311" t="s">
        <v>118</v>
      </c>
      <c r="H10" s="311" t="s">
        <v>35</v>
      </c>
      <c r="I10" s="525" t="s">
        <v>244</v>
      </c>
      <c r="J10" s="525" t="s">
        <v>243</v>
      </c>
      <c r="K10" s="526" t="s">
        <v>117</v>
      </c>
      <c r="L10" s="311" t="s">
        <v>118</v>
      </c>
      <c r="M10" s="311" t="s">
        <v>35</v>
      </c>
      <c r="N10" s="526" t="s">
        <v>244</v>
      </c>
    </row>
    <row r="11" spans="1:14" s="467" customFormat="1" ht="11.25">
      <c r="A11" s="465">
        <v>1</v>
      </c>
      <c r="B11" s="225">
        <f>A11+1</f>
        <v>2</v>
      </c>
      <c r="C11" s="225">
        <f>B11+1</f>
        <v>3</v>
      </c>
      <c r="D11" s="225" t="s">
        <v>285</v>
      </c>
      <c r="E11" s="466">
        <f>C11+1</f>
        <v>4</v>
      </c>
      <c r="F11" s="466">
        <f aca="true" t="shared" si="0" ref="F11:N11">E11+1</f>
        <v>5</v>
      </c>
      <c r="G11" s="465">
        <f t="shared" si="0"/>
        <v>6</v>
      </c>
      <c r="H11" s="465">
        <f t="shared" si="0"/>
        <v>7</v>
      </c>
      <c r="I11" s="465">
        <f t="shared" si="0"/>
        <v>8</v>
      </c>
      <c r="J11" s="466">
        <f t="shared" si="0"/>
        <v>9</v>
      </c>
      <c r="K11" s="466">
        <f t="shared" si="0"/>
        <v>10</v>
      </c>
      <c r="L11" s="465">
        <f t="shared" si="0"/>
        <v>11</v>
      </c>
      <c r="M11" s="465">
        <f t="shared" si="0"/>
        <v>12</v>
      </c>
      <c r="N11" s="465">
        <f t="shared" si="0"/>
        <v>13</v>
      </c>
    </row>
    <row r="12" spans="1:14" s="414" customFormat="1" ht="12.75">
      <c r="A12" s="468">
        <v>1</v>
      </c>
      <c r="B12" s="468" t="s">
        <v>119</v>
      </c>
      <c r="C12" s="468" t="s">
        <v>286</v>
      </c>
      <c r="D12" s="468">
        <v>11</v>
      </c>
      <c r="E12" s="469">
        <f>'норм. ГВС  (3-1)'!G16+'норм. ХВС для ЦО (4-1) '!F13</f>
        <v>7.46</v>
      </c>
      <c r="F12" s="468">
        <v>5</v>
      </c>
      <c r="G12" s="842">
        <v>0.66304</v>
      </c>
      <c r="H12" s="315">
        <v>42</v>
      </c>
      <c r="I12" s="527">
        <f>ROUND(E12*F12*H12/1000,5)</f>
        <v>1.5666</v>
      </c>
      <c r="J12" s="527">
        <f>'норм. ГВС  (3-1)'!N16+'норм. ХВС для ЦО (4-1) '!K13</f>
        <v>7.46</v>
      </c>
      <c r="K12" s="468">
        <v>5</v>
      </c>
      <c r="L12" s="314">
        <f aca="true" t="shared" si="1" ref="L12:M15">G12</f>
        <v>0.66304</v>
      </c>
      <c r="M12" s="314">
        <f t="shared" si="1"/>
        <v>42</v>
      </c>
      <c r="N12" s="527">
        <f>ROUND(J12*K12*M12/1000,5)</f>
        <v>1.5666</v>
      </c>
    </row>
    <row r="13" spans="1:14" s="414" customFormat="1" ht="12.75">
      <c r="A13" s="468">
        <v>2</v>
      </c>
      <c r="B13" s="468"/>
      <c r="C13" s="468"/>
      <c r="D13" s="468"/>
      <c r="E13" s="469">
        <f>'норм. ГВС  (3-1)'!G17+'норм. ХВС для ЦО (4-1) '!F14</f>
        <v>3.8600000000000003</v>
      </c>
      <c r="F13" s="468">
        <v>5</v>
      </c>
      <c r="G13" s="843">
        <v>0.06435</v>
      </c>
      <c r="H13" s="315">
        <v>358</v>
      </c>
      <c r="I13" s="527">
        <f>ROUND(E13*F13*H13/1000,5)</f>
        <v>6.9094</v>
      </c>
      <c r="J13" s="527">
        <f>'норм. ГВС  (3-1)'!N17+'норм. ХВС для ЦО (4-1) '!K14</f>
        <v>3.8600000000000003</v>
      </c>
      <c r="K13" s="468">
        <v>5</v>
      </c>
      <c r="L13" s="314">
        <f t="shared" si="1"/>
        <v>0.06435</v>
      </c>
      <c r="M13" s="314">
        <f t="shared" si="1"/>
        <v>358</v>
      </c>
      <c r="N13" s="527">
        <f>ROUND(J13*K13*M13/1000,5)</f>
        <v>6.9094</v>
      </c>
    </row>
    <row r="14" spans="1:14" s="473" customFormat="1" ht="12.75">
      <c r="A14" s="234"/>
      <c r="B14" s="234"/>
      <c r="C14" s="234"/>
      <c r="D14" s="234"/>
      <c r="E14" s="469">
        <v>0</v>
      </c>
      <c r="F14" s="468"/>
      <c r="G14" s="844"/>
      <c r="H14" s="528"/>
      <c r="I14" s="527">
        <f>ROUND(E14*F14*H14/1000,5)</f>
        <v>0</v>
      </c>
      <c r="J14" s="527">
        <v>0</v>
      </c>
      <c r="K14" s="468"/>
      <c r="L14" s="314">
        <f t="shared" si="1"/>
        <v>0</v>
      </c>
      <c r="M14" s="314">
        <f t="shared" si="1"/>
        <v>0</v>
      </c>
      <c r="N14" s="527">
        <f>ROUND(J14*K14*M14/1000,5)</f>
        <v>0</v>
      </c>
    </row>
    <row r="15" spans="1:14" s="473" customFormat="1" ht="12.75">
      <c r="A15" s="234"/>
      <c r="B15" s="529"/>
      <c r="C15" s="530"/>
      <c r="D15" s="530"/>
      <c r="E15" s="469">
        <f>'норм. ГВС  (3-1)'!G19+'норм. ХВС для ЦО (4-1) '!F16</f>
        <v>0</v>
      </c>
      <c r="F15" s="468"/>
      <c r="G15" s="844"/>
      <c r="H15" s="528"/>
      <c r="I15" s="527">
        <f>ROUND(E15*F15*H15/1000,5)</f>
        <v>0</v>
      </c>
      <c r="J15" s="527">
        <f>'норм. ГВС  (3-1)'!N19+'норм. ХВС для ЦО (4-1) '!K16</f>
        <v>0</v>
      </c>
      <c r="K15" s="468"/>
      <c r="L15" s="314">
        <f t="shared" si="1"/>
        <v>0</v>
      </c>
      <c r="M15" s="314">
        <f t="shared" si="1"/>
        <v>0</v>
      </c>
      <c r="N15" s="527">
        <f>ROUND(J15*K15*M15/1000,5)</f>
        <v>0</v>
      </c>
    </row>
    <row r="16" spans="1:14" s="473" customFormat="1" ht="12.75">
      <c r="A16" s="234"/>
      <c r="B16" s="385"/>
      <c r="C16" s="385"/>
      <c r="D16" s="385" t="s">
        <v>287</v>
      </c>
      <c r="E16" s="472"/>
      <c r="F16" s="468"/>
      <c r="G16" s="844">
        <v>3.86277</v>
      </c>
      <c r="H16" s="528"/>
      <c r="I16" s="527"/>
      <c r="J16" s="531"/>
      <c r="K16" s="468"/>
      <c r="L16" s="314"/>
      <c r="M16" s="314"/>
      <c r="N16" s="527"/>
    </row>
    <row r="17" spans="1:14" s="460" customFormat="1" ht="15.75">
      <c r="A17" s="532"/>
      <c r="B17" s="533"/>
      <c r="C17" s="533"/>
      <c r="D17" s="533"/>
      <c r="E17" s="534"/>
      <c r="F17" s="468"/>
      <c r="G17" s="535"/>
      <c r="H17" s="536"/>
      <c r="I17" s="527"/>
      <c r="J17" s="537"/>
      <c r="K17" s="468"/>
      <c r="L17" s="314"/>
      <c r="M17" s="314"/>
      <c r="N17" s="527"/>
    </row>
    <row r="18" spans="1:14" s="348" customFormat="1" ht="25.5" customHeight="1">
      <c r="A18" s="476"/>
      <c r="B18" s="950" t="s">
        <v>246</v>
      </c>
      <c r="C18" s="950"/>
      <c r="D18" s="479">
        <f>SUM(D12:D17)</f>
        <v>11</v>
      </c>
      <c r="E18" s="253">
        <f>ROUND(I18/H18/F18*1000,5)</f>
        <v>4.238</v>
      </c>
      <c r="F18" s="478">
        <v>5</v>
      </c>
      <c r="G18" s="479">
        <f>SUM(G12:G17)</f>
        <v>4.59016</v>
      </c>
      <c r="H18" s="480">
        <f>SUM(H12:H17)</f>
        <v>400</v>
      </c>
      <c r="I18" s="479">
        <f>SUM(I12:I17)</f>
        <v>8.475999999999999</v>
      </c>
      <c r="J18" s="253">
        <f>ROUND(N18/M18/K18*1000,5)</f>
        <v>4.238</v>
      </c>
      <c r="K18" s="478">
        <v>5</v>
      </c>
      <c r="L18" s="479">
        <f>SUM(L12:L17)</f>
        <v>0.72739</v>
      </c>
      <c r="M18" s="538">
        <f>SUM(M12:M17)</f>
        <v>400</v>
      </c>
      <c r="N18" s="484">
        <f>SUM(N12:N17)</f>
        <v>8.475999999999999</v>
      </c>
    </row>
    <row r="19" spans="1:14" s="348" customFormat="1" ht="12.75">
      <c r="A19" s="193"/>
      <c r="B19" s="361"/>
      <c r="C19" s="361"/>
      <c r="D19" s="361"/>
      <c r="E19" s="255"/>
      <c r="F19" s="485"/>
      <c r="G19" s="363"/>
      <c r="H19" s="363"/>
      <c r="I19" s="488"/>
      <c r="J19" s="363"/>
      <c r="K19" s="485"/>
      <c r="L19" s="363"/>
      <c r="M19" s="363"/>
      <c r="N19" s="488"/>
    </row>
    <row r="21" spans="1:6" s="460" customFormat="1" ht="15.75">
      <c r="A21" s="489"/>
      <c r="B21" s="206"/>
      <c r="C21" s="206"/>
      <c r="D21" s="206"/>
      <c r="E21" s="206"/>
      <c r="F21" s="206"/>
    </row>
    <row r="23" spans="1:22" s="460" customFormat="1" ht="18" customHeight="1">
      <c r="A23" s="539"/>
      <c r="B23" s="540" t="s">
        <v>247</v>
      </c>
      <c r="C23" s="539"/>
      <c r="D23" s="539"/>
      <c r="E23" s="539"/>
      <c r="F23" s="541"/>
      <c r="G23" s="542"/>
      <c r="H23" s="542"/>
      <c r="I23" s="542"/>
      <c r="J23" s="542"/>
      <c r="K23" s="542"/>
      <c r="L23" s="542"/>
      <c r="M23" s="542"/>
      <c r="N23" s="542"/>
      <c r="O23" s="542"/>
      <c r="P23" s="539"/>
      <c r="Q23" s="539"/>
      <c r="R23" s="539"/>
      <c r="S23" s="539"/>
      <c r="T23" s="539"/>
      <c r="U23" s="539"/>
      <c r="V23" s="539"/>
    </row>
    <row r="24" spans="1:14" ht="13.5" customHeight="1">
      <c r="A24"/>
      <c r="B24"/>
      <c r="C24"/>
      <c r="D24"/>
      <c r="E24" s="930"/>
      <c r="F24" s="930"/>
      <c r="G24" s="930"/>
      <c r="H24" s="930"/>
      <c r="I24" s="930"/>
      <c r="J24" s="930"/>
      <c r="K24" s="930"/>
      <c r="L24" s="930"/>
      <c r="M24" s="930"/>
      <c r="N24" s="930"/>
    </row>
    <row r="25" spans="1:14" s="460" customFormat="1" ht="34.5" customHeight="1">
      <c r="A25" s="889" t="s">
        <v>105</v>
      </c>
      <c r="B25" s="926" t="s">
        <v>106</v>
      </c>
      <c r="C25" s="889" t="s">
        <v>107</v>
      </c>
      <c r="D25" s="889" t="s">
        <v>108</v>
      </c>
      <c r="E25" s="890" t="s">
        <v>137</v>
      </c>
      <c r="F25" s="890"/>
      <c r="G25" s="890"/>
      <c r="H25" s="890"/>
      <c r="I25" s="890"/>
      <c r="J25" s="903" t="s">
        <v>438</v>
      </c>
      <c r="K25" s="903"/>
      <c r="L25" s="903"/>
      <c r="M25" s="903"/>
      <c r="N25" s="903"/>
    </row>
    <row r="26" spans="1:14" s="460" customFormat="1" ht="111" customHeight="1">
      <c r="A26" s="889"/>
      <c r="B26" s="926"/>
      <c r="C26" s="889"/>
      <c r="D26" s="889"/>
      <c r="E26" s="248" t="s">
        <v>248</v>
      </c>
      <c r="F26" s="457" t="s">
        <v>111</v>
      </c>
      <c r="G26" s="457" t="s">
        <v>281</v>
      </c>
      <c r="H26" s="457" t="s">
        <v>240</v>
      </c>
      <c r="I26" s="457" t="s">
        <v>288</v>
      </c>
      <c r="J26" s="248" t="s">
        <v>251</v>
      </c>
      <c r="K26" s="457" t="s">
        <v>111</v>
      </c>
      <c r="L26" s="457" t="s">
        <v>281</v>
      </c>
      <c r="M26" s="459" t="s">
        <v>240</v>
      </c>
      <c r="N26" s="459" t="s">
        <v>289</v>
      </c>
    </row>
    <row r="27" spans="1:14" s="464" customFormat="1" ht="25.5" customHeight="1">
      <c r="A27" s="889"/>
      <c r="B27" s="926"/>
      <c r="C27" s="889"/>
      <c r="D27" s="889"/>
      <c r="E27" s="461" t="s">
        <v>253</v>
      </c>
      <c r="F27" s="461" t="s">
        <v>117</v>
      </c>
      <c r="G27" s="311" t="s">
        <v>118</v>
      </c>
      <c r="H27" s="311" t="s">
        <v>35</v>
      </c>
      <c r="I27" s="463" t="s">
        <v>244</v>
      </c>
      <c r="J27" s="463" t="s">
        <v>245</v>
      </c>
      <c r="K27" s="461" t="s">
        <v>117</v>
      </c>
      <c r="L27" s="311" t="s">
        <v>118</v>
      </c>
      <c r="M27" s="311" t="s">
        <v>35</v>
      </c>
      <c r="N27" s="463" t="s">
        <v>244</v>
      </c>
    </row>
    <row r="28" spans="1:14" s="467" customFormat="1" ht="11.25">
      <c r="A28" s="465">
        <v>1</v>
      </c>
      <c r="B28" s="225">
        <f aca="true" t="shared" si="2" ref="B28:N28">A28+1</f>
        <v>2</v>
      </c>
      <c r="C28" s="225">
        <f t="shared" si="2"/>
        <v>3</v>
      </c>
      <c r="D28" s="225">
        <f t="shared" si="2"/>
        <v>4</v>
      </c>
      <c r="E28" s="466">
        <f t="shared" si="2"/>
        <v>5</v>
      </c>
      <c r="F28" s="466">
        <f t="shared" si="2"/>
        <v>6</v>
      </c>
      <c r="G28" s="465">
        <f t="shared" si="2"/>
        <v>7</v>
      </c>
      <c r="H28" s="465">
        <f t="shared" si="2"/>
        <v>8</v>
      </c>
      <c r="I28" s="465">
        <f t="shared" si="2"/>
        <v>9</v>
      </c>
      <c r="J28" s="466">
        <f t="shared" si="2"/>
        <v>10</v>
      </c>
      <c r="K28" s="466">
        <f t="shared" si="2"/>
        <v>11</v>
      </c>
      <c r="L28" s="465">
        <f t="shared" si="2"/>
        <v>12</v>
      </c>
      <c r="M28" s="465">
        <f t="shared" si="2"/>
        <v>13</v>
      </c>
      <c r="N28" s="465">
        <f t="shared" si="2"/>
        <v>14</v>
      </c>
    </row>
    <row r="29" spans="1:14" s="414" customFormat="1" ht="12.75">
      <c r="A29" s="468">
        <v>1</v>
      </c>
      <c r="B29" s="468"/>
      <c r="C29" s="468"/>
      <c r="D29" s="468"/>
      <c r="E29" s="469"/>
      <c r="F29" s="468"/>
      <c r="G29" s="470"/>
      <c r="H29" s="471"/>
      <c r="I29" s="527">
        <f aca="true" t="shared" si="3" ref="I29:I34">ROUND(E29*F29/1000,5)</f>
        <v>0</v>
      </c>
      <c r="J29" s="469"/>
      <c r="K29" s="468"/>
      <c r="L29" s="470">
        <f aca="true" t="shared" si="4" ref="L29:M32">G29</f>
        <v>0</v>
      </c>
      <c r="M29" s="470">
        <f t="shared" si="4"/>
        <v>0</v>
      </c>
      <c r="N29" s="527">
        <f aca="true" t="shared" si="5" ref="N29:N34">ROUND(J29*K29/1000,5)</f>
        <v>0</v>
      </c>
    </row>
    <row r="30" spans="1:14" s="414" customFormat="1" ht="12.75">
      <c r="A30" s="468"/>
      <c r="B30" s="468"/>
      <c r="C30" s="468"/>
      <c r="D30" s="468"/>
      <c r="E30" s="469"/>
      <c r="F30" s="468"/>
      <c r="G30" s="470"/>
      <c r="H30" s="471"/>
      <c r="I30" s="527">
        <f t="shared" si="3"/>
        <v>0</v>
      </c>
      <c r="J30" s="469"/>
      <c r="K30" s="468"/>
      <c r="L30" s="470">
        <f t="shared" si="4"/>
        <v>0</v>
      </c>
      <c r="M30" s="470">
        <f t="shared" si="4"/>
        <v>0</v>
      </c>
      <c r="N30" s="527">
        <f t="shared" si="5"/>
        <v>0</v>
      </c>
    </row>
    <row r="31" spans="1:14" s="473" customFormat="1" ht="12.75">
      <c r="A31" s="234"/>
      <c r="B31" s="468"/>
      <c r="C31" s="468"/>
      <c r="D31" s="468"/>
      <c r="E31" s="469"/>
      <c r="F31" s="468"/>
      <c r="G31" s="287"/>
      <c r="H31" s="471"/>
      <c r="I31" s="527">
        <f t="shared" si="3"/>
        <v>0</v>
      </c>
      <c r="J31" s="469"/>
      <c r="K31" s="468"/>
      <c r="L31" s="470">
        <f t="shared" si="4"/>
        <v>0</v>
      </c>
      <c r="M31" s="470">
        <f t="shared" si="4"/>
        <v>0</v>
      </c>
      <c r="N31" s="527">
        <f t="shared" si="5"/>
        <v>0</v>
      </c>
    </row>
    <row r="32" spans="1:14" s="473" customFormat="1" ht="12.75">
      <c r="A32" s="234"/>
      <c r="B32" s="474"/>
      <c r="C32" s="475"/>
      <c r="D32" s="468"/>
      <c r="E32" s="469"/>
      <c r="F32" s="468"/>
      <c r="G32" s="287"/>
      <c r="H32" s="471"/>
      <c r="I32" s="527">
        <f t="shared" si="3"/>
        <v>0</v>
      </c>
      <c r="J32" s="469"/>
      <c r="K32" s="468"/>
      <c r="L32" s="470">
        <f t="shared" si="4"/>
        <v>0</v>
      </c>
      <c r="M32" s="470">
        <f t="shared" si="4"/>
        <v>0</v>
      </c>
      <c r="N32" s="527">
        <f t="shared" si="5"/>
        <v>0</v>
      </c>
    </row>
    <row r="33" spans="1:14" s="473" customFormat="1" ht="12.75">
      <c r="A33" s="234"/>
      <c r="B33" s="474"/>
      <c r="C33" s="475"/>
      <c r="D33" s="468"/>
      <c r="E33" s="472"/>
      <c r="F33" s="468"/>
      <c r="G33" s="287"/>
      <c r="H33" s="471"/>
      <c r="I33" s="527">
        <f t="shared" si="3"/>
        <v>0</v>
      </c>
      <c r="J33" s="472"/>
      <c r="K33" s="468"/>
      <c r="L33" s="470"/>
      <c r="M33" s="468"/>
      <c r="N33" s="527">
        <f t="shared" si="5"/>
        <v>0</v>
      </c>
    </row>
    <row r="34" spans="1:14" s="473" customFormat="1" ht="12.75">
      <c r="A34" s="234"/>
      <c r="B34" s="474"/>
      <c r="C34" s="475"/>
      <c r="D34" s="468"/>
      <c r="E34" s="472"/>
      <c r="F34" s="468"/>
      <c r="G34" s="287"/>
      <c r="H34" s="471"/>
      <c r="I34" s="527">
        <f t="shared" si="3"/>
        <v>0</v>
      </c>
      <c r="J34" s="472"/>
      <c r="K34" s="468"/>
      <c r="L34" s="470"/>
      <c r="M34" s="468"/>
      <c r="N34" s="527">
        <f t="shared" si="5"/>
        <v>0</v>
      </c>
    </row>
    <row r="35" spans="1:14" s="348" customFormat="1" ht="25.5" customHeight="1">
      <c r="A35" s="476"/>
      <c r="B35" s="923" t="s">
        <v>246</v>
      </c>
      <c r="C35" s="923"/>
      <c r="D35" s="477">
        <f>SUM(D29:D31)</f>
        <v>0</v>
      </c>
      <c r="E35" s="253" t="e">
        <f>ROUND(I35/H35/F35*1000,5)</f>
        <v>#DIV/0!</v>
      </c>
      <c r="F35" s="478"/>
      <c r="G35" s="479">
        <f>SUM(G29:G31)</f>
        <v>0</v>
      </c>
      <c r="H35" s="480">
        <f>SUM(H29:H31)</f>
        <v>0</v>
      </c>
      <c r="I35" s="484">
        <f>SUM(I29:I31)</f>
        <v>0</v>
      </c>
      <c r="J35" s="253" t="e">
        <f>ROUND(N35/M35/K35*1000,5)</f>
        <v>#DIV/0!</v>
      </c>
      <c r="K35" s="478"/>
      <c r="L35" s="479">
        <f>SUM(L29:L31)</f>
        <v>0</v>
      </c>
      <c r="M35" s="480">
        <f>SUM(M29:M31)</f>
        <v>0</v>
      </c>
      <c r="N35" s="484">
        <f>SUM(N29:N31)</f>
        <v>0</v>
      </c>
    </row>
    <row r="36" spans="1:14" s="348" customFormat="1" ht="25.5" customHeight="1">
      <c r="A36" s="476"/>
      <c r="B36" s="482"/>
      <c r="C36" s="483"/>
      <c r="D36" s="477"/>
      <c r="E36" s="253"/>
      <c r="F36" s="478"/>
      <c r="G36" s="479"/>
      <c r="H36" s="480"/>
      <c r="I36" s="484"/>
      <c r="J36" s="253"/>
      <c r="K36" s="478"/>
      <c r="L36" s="479"/>
      <c r="M36" s="480"/>
      <c r="N36" s="484"/>
    </row>
    <row r="38" spans="1:15" s="208" customFormat="1" ht="15.75">
      <c r="A38" s="274"/>
      <c r="B38" s="275" t="s">
        <v>136</v>
      </c>
      <c r="C38" s="275"/>
      <c r="D38" s="274"/>
      <c r="E38" s="274"/>
      <c r="F38" s="221"/>
      <c r="G38" s="222"/>
      <c r="H38" s="222"/>
      <c r="I38" s="222"/>
      <c r="J38" s="222"/>
      <c r="K38" s="222"/>
      <c r="L38" s="222"/>
      <c r="M38" s="274"/>
      <c r="N38" s="274"/>
      <c r="O38" s="274"/>
    </row>
    <row r="39" spans="1:15" s="208" customFormat="1" ht="15.75">
      <c r="A39" s="274"/>
      <c r="B39" s="275" t="s">
        <v>128</v>
      </c>
      <c r="C39" s="275"/>
      <c r="D39" s="274"/>
      <c r="E39" s="274"/>
      <c r="F39" s="221"/>
      <c r="G39" s="222"/>
      <c r="H39" s="222"/>
      <c r="I39" s="222"/>
      <c r="J39" s="222"/>
      <c r="K39" s="222"/>
      <c r="L39" s="222"/>
      <c r="M39" s="274"/>
      <c r="N39" s="274"/>
      <c r="O39" s="274"/>
    </row>
    <row r="40" spans="2:14" s="491" customFormat="1" ht="20.25" customHeight="1">
      <c r="B40" s="522" t="s">
        <v>168</v>
      </c>
      <c r="E40" s="523"/>
      <c r="F40" s="523"/>
      <c r="G40" s="523"/>
      <c r="H40" s="523"/>
      <c r="I40" s="523"/>
      <c r="J40" s="523"/>
      <c r="K40" s="523"/>
      <c r="L40" s="523"/>
      <c r="M40" s="523"/>
      <c r="N40" s="524"/>
    </row>
    <row r="41" spans="1:14" s="460" customFormat="1" ht="34.5" customHeight="1">
      <c r="A41" s="889" t="s">
        <v>105</v>
      </c>
      <c r="B41" s="952" t="s">
        <v>279</v>
      </c>
      <c r="C41" s="889" t="s">
        <v>107</v>
      </c>
      <c r="D41" s="889" t="s">
        <v>108</v>
      </c>
      <c r="E41" s="890" t="s">
        <v>129</v>
      </c>
      <c r="F41" s="890"/>
      <c r="G41" s="890"/>
      <c r="H41" s="890"/>
      <c r="I41" s="890"/>
      <c r="J41" s="903" t="s">
        <v>439</v>
      </c>
      <c r="K41" s="903"/>
      <c r="L41" s="903"/>
      <c r="M41" s="903"/>
      <c r="N41" s="903"/>
    </row>
    <row r="42" spans="1:14" s="460" customFormat="1" ht="86.25" customHeight="1">
      <c r="A42" s="889"/>
      <c r="B42" s="952"/>
      <c r="C42" s="889"/>
      <c r="D42" s="889"/>
      <c r="E42" s="525" t="s">
        <v>280</v>
      </c>
      <c r="F42" s="525" t="s">
        <v>111</v>
      </c>
      <c r="G42" s="525" t="s">
        <v>281</v>
      </c>
      <c r="H42" s="525" t="s">
        <v>240</v>
      </c>
      <c r="I42" s="525" t="s">
        <v>282</v>
      </c>
      <c r="J42" s="525" t="s">
        <v>280</v>
      </c>
      <c r="K42" s="525" t="s">
        <v>111</v>
      </c>
      <c r="L42" s="525" t="s">
        <v>281</v>
      </c>
      <c r="M42" s="526" t="s">
        <v>283</v>
      </c>
      <c r="N42" s="526" t="s">
        <v>284</v>
      </c>
    </row>
    <row r="43" spans="1:14" s="464" customFormat="1" ht="33.75" customHeight="1">
      <c r="A43" s="889"/>
      <c r="B43" s="952"/>
      <c r="C43" s="889"/>
      <c r="D43" s="889"/>
      <c r="E43" s="525" t="s">
        <v>243</v>
      </c>
      <c r="F43" s="525" t="s">
        <v>117</v>
      </c>
      <c r="G43" s="311" t="s">
        <v>118</v>
      </c>
      <c r="H43" s="311" t="s">
        <v>35</v>
      </c>
      <c r="I43" s="525" t="s">
        <v>244</v>
      </c>
      <c r="J43" s="525" t="s">
        <v>243</v>
      </c>
      <c r="K43" s="526" t="s">
        <v>117</v>
      </c>
      <c r="L43" s="311" t="s">
        <v>118</v>
      </c>
      <c r="M43" s="311" t="s">
        <v>35</v>
      </c>
      <c r="N43" s="526" t="s">
        <v>244</v>
      </c>
    </row>
    <row r="44" spans="1:14" s="467" customFormat="1" ht="11.25">
      <c r="A44" s="465">
        <v>1</v>
      </c>
      <c r="B44" s="225">
        <f>A44+1</f>
        <v>2</v>
      </c>
      <c r="C44" s="225">
        <f>B44+1</f>
        <v>3</v>
      </c>
      <c r="D44" s="225" t="s">
        <v>285</v>
      </c>
      <c r="E44" s="466">
        <f>C44+1</f>
        <v>4</v>
      </c>
      <c r="F44" s="466">
        <f aca="true" t="shared" si="6" ref="F44:N44">E44+1</f>
        <v>5</v>
      </c>
      <c r="G44" s="465">
        <f t="shared" si="6"/>
        <v>6</v>
      </c>
      <c r="H44" s="465">
        <f t="shared" si="6"/>
        <v>7</v>
      </c>
      <c r="I44" s="465">
        <f t="shared" si="6"/>
        <v>8</v>
      </c>
      <c r="J44" s="466">
        <f t="shared" si="6"/>
        <v>9</v>
      </c>
      <c r="K44" s="466">
        <f t="shared" si="6"/>
        <v>10</v>
      </c>
      <c r="L44" s="465">
        <f t="shared" si="6"/>
        <v>11</v>
      </c>
      <c r="M44" s="465">
        <f t="shared" si="6"/>
        <v>12</v>
      </c>
      <c r="N44" s="465">
        <f t="shared" si="6"/>
        <v>13</v>
      </c>
    </row>
    <row r="45" spans="1:14" s="414" customFormat="1" ht="12.75">
      <c r="A45" s="468">
        <v>1</v>
      </c>
      <c r="B45" s="468" t="s">
        <v>119</v>
      </c>
      <c r="C45" s="468" t="s">
        <v>286</v>
      </c>
      <c r="D45" s="468">
        <v>15</v>
      </c>
      <c r="E45" s="469">
        <v>7.46</v>
      </c>
      <c r="F45" s="468">
        <v>1</v>
      </c>
      <c r="G45" s="314">
        <v>1.44</v>
      </c>
      <c r="H45" s="315">
        <v>42</v>
      </c>
      <c r="I45" s="527">
        <f>ROUND(E45*F45*H45/1000,5)</f>
        <v>0.31332</v>
      </c>
      <c r="J45" s="527">
        <v>7.46</v>
      </c>
      <c r="K45" s="468">
        <v>1</v>
      </c>
      <c r="L45" s="314">
        <f aca="true" t="shared" si="7" ref="L45:M48">G45</f>
        <v>1.44</v>
      </c>
      <c r="M45" s="315">
        <f t="shared" si="7"/>
        <v>42</v>
      </c>
      <c r="N45" s="527">
        <f>ROUND(J45*K45*M45/1000,5)</f>
        <v>0.31332</v>
      </c>
    </row>
    <row r="46" spans="1:14" s="414" customFormat="1" ht="12.75">
      <c r="A46" s="468">
        <v>2</v>
      </c>
      <c r="B46" s="468" t="s">
        <v>119</v>
      </c>
      <c r="C46" s="468" t="s">
        <v>286</v>
      </c>
      <c r="D46" s="468">
        <v>31</v>
      </c>
      <c r="E46" s="469">
        <v>6.36</v>
      </c>
      <c r="F46" s="468">
        <v>1</v>
      </c>
      <c r="G46" s="314">
        <v>7.36</v>
      </c>
      <c r="H46" s="315">
        <v>358</v>
      </c>
      <c r="I46" s="527">
        <f>ROUND(E46*F46*H46/1000,5)</f>
        <v>2.27688</v>
      </c>
      <c r="J46" s="527">
        <v>6.36</v>
      </c>
      <c r="K46" s="468">
        <v>1</v>
      </c>
      <c r="L46" s="314">
        <f t="shared" si="7"/>
        <v>7.36</v>
      </c>
      <c r="M46" s="315">
        <f t="shared" si="7"/>
        <v>358</v>
      </c>
      <c r="N46" s="527">
        <f>ROUND(J46*K46*M46/1000,5)</f>
        <v>2.27688</v>
      </c>
    </row>
    <row r="47" spans="1:14" s="473" customFormat="1" ht="12.75">
      <c r="A47" s="234"/>
      <c r="B47" s="234"/>
      <c r="C47" s="234"/>
      <c r="D47" s="234"/>
      <c r="E47" s="469">
        <v>0</v>
      </c>
      <c r="F47" s="468"/>
      <c r="G47" s="287"/>
      <c r="H47" s="528"/>
      <c r="I47" s="527">
        <f>ROUND(E47*F47*H47/1000,5)</f>
        <v>0</v>
      </c>
      <c r="J47" s="527">
        <f>'норм. ГВС  (3-1)'!N51+'норм. ХВС для ЦО (4-1) '!K48</f>
        <v>0</v>
      </c>
      <c r="K47" s="468"/>
      <c r="L47" s="314">
        <f t="shared" si="7"/>
        <v>0</v>
      </c>
      <c r="M47" s="314">
        <f t="shared" si="7"/>
        <v>0</v>
      </c>
      <c r="N47" s="527">
        <f>ROUND(J47*K47*M47/1000,5)</f>
        <v>0</v>
      </c>
    </row>
    <row r="48" spans="1:14" s="473" customFormat="1" ht="12.75">
      <c r="A48" s="234"/>
      <c r="B48" s="529"/>
      <c r="C48" s="530"/>
      <c r="D48" s="530"/>
      <c r="E48" s="469">
        <f>'норм. ГВС  (3-1)'!G52+'норм. ХВС для ЦО (4-1) '!F49</f>
        <v>0</v>
      </c>
      <c r="F48" s="468"/>
      <c r="G48" s="287"/>
      <c r="H48" s="528"/>
      <c r="I48" s="527">
        <f>ROUND(E48*F48*H48/1000,5)</f>
        <v>0</v>
      </c>
      <c r="J48" s="527">
        <f>'норм. ГВС  (3-1)'!N52+'норм. ХВС для ЦО (4-1) '!K49</f>
        <v>0</v>
      </c>
      <c r="K48" s="468"/>
      <c r="L48" s="314">
        <f t="shared" si="7"/>
        <v>0</v>
      </c>
      <c r="M48" s="314">
        <f t="shared" si="7"/>
        <v>0</v>
      </c>
      <c r="N48" s="527">
        <f>ROUND(J48*K48*M48/1000,5)</f>
        <v>0</v>
      </c>
    </row>
    <row r="49" spans="1:14" s="473" customFormat="1" ht="12.75">
      <c r="A49" s="234"/>
      <c r="B49" s="385"/>
      <c r="C49" s="385"/>
      <c r="D49" s="385" t="s">
        <v>287</v>
      </c>
      <c r="E49" s="472"/>
      <c r="F49" s="468"/>
      <c r="G49" s="287"/>
      <c r="H49" s="528"/>
      <c r="I49" s="527"/>
      <c r="J49" s="531"/>
      <c r="K49" s="468"/>
      <c r="L49" s="314"/>
      <c r="M49" s="314"/>
      <c r="N49" s="527"/>
    </row>
    <row r="50" spans="1:14" s="460" customFormat="1" ht="15.75">
      <c r="A50" s="532"/>
      <c r="B50" s="533"/>
      <c r="C50" s="533"/>
      <c r="D50" s="533"/>
      <c r="E50" s="534"/>
      <c r="F50" s="468"/>
      <c r="G50" s="535"/>
      <c r="H50" s="536"/>
      <c r="I50" s="527"/>
      <c r="J50" s="537"/>
      <c r="K50" s="468"/>
      <c r="L50" s="314"/>
      <c r="M50" s="314"/>
      <c r="N50" s="527"/>
    </row>
    <row r="51" spans="1:14" s="348" customFormat="1" ht="25.5" customHeight="1">
      <c r="A51" s="476"/>
      <c r="B51" s="950" t="s">
        <v>246</v>
      </c>
      <c r="C51" s="950"/>
      <c r="D51" s="479">
        <f>SUM(D45:D50)</f>
        <v>46</v>
      </c>
      <c r="E51" s="253">
        <f>ROUND(I51/H51/F51*1000,5)</f>
        <v>6.4755</v>
      </c>
      <c r="F51" s="478">
        <v>1</v>
      </c>
      <c r="G51" s="479">
        <f>SUM(G45:G50)</f>
        <v>8.8</v>
      </c>
      <c r="H51" s="480">
        <f>SUM(H45:H50)</f>
        <v>400</v>
      </c>
      <c r="I51" s="479">
        <f>SUM(I45:I50)</f>
        <v>2.5902</v>
      </c>
      <c r="J51" s="253">
        <f>ROUND(N51/M51/K51*1000,5)</f>
        <v>6.4755</v>
      </c>
      <c r="K51" s="478">
        <v>1</v>
      </c>
      <c r="L51" s="479">
        <f>SUM(L45:L50)</f>
        <v>8.8</v>
      </c>
      <c r="M51" s="538">
        <f>SUM(M45:M50)</f>
        <v>400</v>
      </c>
      <c r="N51" s="484">
        <f>SUM(N45:N50)</f>
        <v>2.5902</v>
      </c>
    </row>
    <row r="52" spans="1:14" s="348" customFormat="1" ht="12.75">
      <c r="A52" s="193"/>
      <c r="B52" s="361"/>
      <c r="C52" s="361"/>
      <c r="D52" s="361"/>
      <c r="E52" s="255"/>
      <c r="F52" s="485"/>
      <c r="G52" s="363"/>
      <c r="H52" s="363"/>
      <c r="I52" s="488"/>
      <c r="J52" s="363"/>
      <c r="K52" s="485"/>
      <c r="L52" s="363"/>
      <c r="M52" s="363"/>
      <c r="N52" s="488"/>
    </row>
    <row r="54" spans="1:6" s="460" customFormat="1" ht="15.75">
      <c r="A54" s="489"/>
      <c r="B54" s="206"/>
      <c r="C54" s="206"/>
      <c r="D54" s="206"/>
      <c r="E54" s="206"/>
      <c r="F54" s="206"/>
    </row>
    <row r="56" spans="1:22" s="460" customFormat="1" ht="18" customHeight="1">
      <c r="A56" s="539"/>
      <c r="B56" s="540" t="s">
        <v>247</v>
      </c>
      <c r="C56" s="539"/>
      <c r="D56" s="539"/>
      <c r="E56" s="539"/>
      <c r="F56" s="541"/>
      <c r="G56" s="542"/>
      <c r="H56" s="542"/>
      <c r="I56" s="542"/>
      <c r="J56" s="542"/>
      <c r="K56" s="542"/>
      <c r="L56" s="542"/>
      <c r="M56" s="542"/>
      <c r="N56" s="542"/>
      <c r="O56" s="542"/>
      <c r="P56" s="539"/>
      <c r="Q56" s="539"/>
      <c r="R56" s="539"/>
      <c r="S56" s="539"/>
      <c r="T56" s="539"/>
      <c r="U56" s="539"/>
      <c r="V56" s="539"/>
    </row>
    <row r="57" spans="1:14" ht="13.5" customHeight="1">
      <c r="A57"/>
      <c r="B57"/>
      <c r="C57"/>
      <c r="D57"/>
      <c r="E57" s="930"/>
      <c r="F57" s="930"/>
      <c r="G57" s="930"/>
      <c r="H57" s="930"/>
      <c r="I57" s="930"/>
      <c r="J57" s="930"/>
      <c r="K57" s="930"/>
      <c r="L57" s="930"/>
      <c r="M57" s="930"/>
      <c r="N57" s="930"/>
    </row>
    <row r="58" spans="1:14" s="460" customFormat="1" ht="34.5" customHeight="1">
      <c r="A58" s="889" t="s">
        <v>105</v>
      </c>
      <c r="B58" s="926" t="s">
        <v>106</v>
      </c>
      <c r="C58" s="889" t="s">
        <v>107</v>
      </c>
      <c r="D58" s="889" t="s">
        <v>108</v>
      </c>
      <c r="E58" s="890" t="s">
        <v>129</v>
      </c>
      <c r="F58" s="890"/>
      <c r="G58" s="890"/>
      <c r="H58" s="890"/>
      <c r="I58" s="890"/>
      <c r="J58" s="903" t="s">
        <v>439</v>
      </c>
      <c r="K58" s="903"/>
      <c r="L58" s="903"/>
      <c r="M58" s="903"/>
      <c r="N58" s="903"/>
    </row>
    <row r="59" spans="1:14" s="460" customFormat="1" ht="111" customHeight="1">
      <c r="A59" s="889"/>
      <c r="B59" s="926"/>
      <c r="C59" s="889"/>
      <c r="D59" s="889"/>
      <c r="E59" s="248" t="s">
        <v>248</v>
      </c>
      <c r="F59" s="457" t="s">
        <v>111</v>
      </c>
      <c r="G59" s="457" t="s">
        <v>281</v>
      </c>
      <c r="H59" s="457" t="s">
        <v>240</v>
      </c>
      <c r="I59" s="457" t="s">
        <v>288</v>
      </c>
      <c r="J59" s="248" t="s">
        <v>251</v>
      </c>
      <c r="K59" s="457" t="s">
        <v>111</v>
      </c>
      <c r="L59" s="457" t="s">
        <v>281</v>
      </c>
      <c r="M59" s="459" t="s">
        <v>240</v>
      </c>
      <c r="N59" s="459" t="s">
        <v>289</v>
      </c>
    </row>
    <row r="60" spans="1:14" s="464" customFormat="1" ht="25.5" customHeight="1">
      <c r="A60" s="889"/>
      <c r="B60" s="926"/>
      <c r="C60" s="889"/>
      <c r="D60" s="889"/>
      <c r="E60" s="461" t="s">
        <v>253</v>
      </c>
      <c r="F60" s="461" t="s">
        <v>117</v>
      </c>
      <c r="G60" s="311" t="s">
        <v>118</v>
      </c>
      <c r="H60" s="311" t="s">
        <v>35</v>
      </c>
      <c r="I60" s="463" t="s">
        <v>244</v>
      </c>
      <c r="J60" s="463" t="s">
        <v>245</v>
      </c>
      <c r="K60" s="461" t="s">
        <v>117</v>
      </c>
      <c r="L60" s="311" t="s">
        <v>118</v>
      </c>
      <c r="M60" s="311" t="s">
        <v>35</v>
      </c>
      <c r="N60" s="463" t="s">
        <v>244</v>
      </c>
    </row>
    <row r="61" spans="1:14" s="467" customFormat="1" ht="11.25">
      <c r="A61" s="465">
        <v>1</v>
      </c>
      <c r="B61" s="225">
        <f aca="true" t="shared" si="8" ref="B61:N61">A61+1</f>
        <v>2</v>
      </c>
      <c r="C61" s="225">
        <f t="shared" si="8"/>
        <v>3</v>
      </c>
      <c r="D61" s="225">
        <f t="shared" si="8"/>
        <v>4</v>
      </c>
      <c r="E61" s="466">
        <f t="shared" si="8"/>
        <v>5</v>
      </c>
      <c r="F61" s="466">
        <f t="shared" si="8"/>
        <v>6</v>
      </c>
      <c r="G61" s="465">
        <f t="shared" si="8"/>
        <v>7</v>
      </c>
      <c r="H61" s="465">
        <f t="shared" si="8"/>
        <v>8</v>
      </c>
      <c r="I61" s="465">
        <f t="shared" si="8"/>
        <v>9</v>
      </c>
      <c r="J61" s="466">
        <f t="shared" si="8"/>
        <v>10</v>
      </c>
      <c r="K61" s="466">
        <f t="shared" si="8"/>
        <v>11</v>
      </c>
      <c r="L61" s="465">
        <f t="shared" si="8"/>
        <v>12</v>
      </c>
      <c r="M61" s="465">
        <f t="shared" si="8"/>
        <v>13</v>
      </c>
      <c r="N61" s="465">
        <f t="shared" si="8"/>
        <v>14</v>
      </c>
    </row>
    <row r="62" spans="1:14" s="414" customFormat="1" ht="12.75">
      <c r="A62" s="468">
        <v>1</v>
      </c>
      <c r="B62" s="468"/>
      <c r="C62" s="468"/>
      <c r="D62" s="468"/>
      <c r="E62" s="469"/>
      <c r="F62" s="468"/>
      <c r="G62" s="470"/>
      <c r="H62" s="471"/>
      <c r="I62" s="527">
        <f aca="true" t="shared" si="9" ref="I62:I67">ROUND(E62*F62/1000,5)</f>
        <v>0</v>
      </c>
      <c r="J62" s="469"/>
      <c r="K62" s="468"/>
      <c r="L62" s="470">
        <f aca="true" t="shared" si="10" ref="L62:M65">G62</f>
        <v>0</v>
      </c>
      <c r="M62" s="470">
        <f t="shared" si="10"/>
        <v>0</v>
      </c>
      <c r="N62" s="527">
        <f aca="true" t="shared" si="11" ref="N62:N67">ROUND(J62*K62/1000,5)</f>
        <v>0</v>
      </c>
    </row>
    <row r="63" spans="1:14" s="414" customFormat="1" ht="12.75">
      <c r="A63" s="468"/>
      <c r="B63" s="468"/>
      <c r="C63" s="468"/>
      <c r="D63" s="468"/>
      <c r="E63" s="469"/>
      <c r="F63" s="468"/>
      <c r="G63" s="470"/>
      <c r="H63" s="471"/>
      <c r="I63" s="527">
        <f t="shared" si="9"/>
        <v>0</v>
      </c>
      <c r="J63" s="469"/>
      <c r="K63" s="468"/>
      <c r="L63" s="470">
        <f t="shared" si="10"/>
        <v>0</v>
      </c>
      <c r="M63" s="470">
        <f t="shared" si="10"/>
        <v>0</v>
      </c>
      <c r="N63" s="527">
        <f t="shared" si="11"/>
        <v>0</v>
      </c>
    </row>
    <row r="64" spans="1:14" s="473" customFormat="1" ht="12.75">
      <c r="A64" s="234"/>
      <c r="B64" s="468"/>
      <c r="C64" s="468"/>
      <c r="D64" s="468"/>
      <c r="E64" s="469"/>
      <c r="F64" s="468"/>
      <c r="G64" s="287"/>
      <c r="H64" s="471"/>
      <c r="I64" s="527">
        <f t="shared" si="9"/>
        <v>0</v>
      </c>
      <c r="J64" s="469"/>
      <c r="K64" s="468"/>
      <c r="L64" s="470">
        <f t="shared" si="10"/>
        <v>0</v>
      </c>
      <c r="M64" s="470">
        <f t="shared" si="10"/>
        <v>0</v>
      </c>
      <c r="N64" s="527">
        <f t="shared" si="11"/>
        <v>0</v>
      </c>
    </row>
    <row r="65" spans="1:14" s="473" customFormat="1" ht="12.75">
      <c r="A65" s="234"/>
      <c r="B65" s="474"/>
      <c r="C65" s="475"/>
      <c r="D65" s="468"/>
      <c r="E65" s="469"/>
      <c r="F65" s="468"/>
      <c r="G65" s="287"/>
      <c r="H65" s="471"/>
      <c r="I65" s="527">
        <f t="shared" si="9"/>
        <v>0</v>
      </c>
      <c r="J65" s="469"/>
      <c r="K65" s="468"/>
      <c r="L65" s="470">
        <f t="shared" si="10"/>
        <v>0</v>
      </c>
      <c r="M65" s="470">
        <f t="shared" si="10"/>
        <v>0</v>
      </c>
      <c r="N65" s="527">
        <f t="shared" si="11"/>
        <v>0</v>
      </c>
    </row>
    <row r="66" spans="1:14" s="473" customFormat="1" ht="12.75">
      <c r="A66" s="234"/>
      <c r="B66" s="474"/>
      <c r="C66" s="475"/>
      <c r="D66" s="468"/>
      <c r="E66" s="472"/>
      <c r="F66" s="468"/>
      <c r="G66" s="287"/>
      <c r="H66" s="471"/>
      <c r="I66" s="527">
        <f t="shared" si="9"/>
        <v>0</v>
      </c>
      <c r="J66" s="472"/>
      <c r="K66" s="468"/>
      <c r="L66" s="470"/>
      <c r="M66" s="468"/>
      <c r="N66" s="527">
        <f t="shared" si="11"/>
        <v>0</v>
      </c>
    </row>
    <row r="67" spans="1:14" s="473" customFormat="1" ht="12.75">
      <c r="A67" s="234"/>
      <c r="B67" s="474"/>
      <c r="C67" s="475"/>
      <c r="D67" s="468"/>
      <c r="E67" s="472"/>
      <c r="F67" s="468"/>
      <c r="G67" s="287"/>
      <c r="H67" s="471"/>
      <c r="I67" s="527">
        <f t="shared" si="9"/>
        <v>0</v>
      </c>
      <c r="J67" s="472"/>
      <c r="K67" s="468"/>
      <c r="L67" s="470"/>
      <c r="M67" s="468"/>
      <c r="N67" s="527">
        <f t="shared" si="11"/>
        <v>0</v>
      </c>
    </row>
    <row r="68" spans="1:14" s="348" customFormat="1" ht="25.5" customHeight="1">
      <c r="A68" s="476"/>
      <c r="B68" s="923" t="s">
        <v>246</v>
      </c>
      <c r="C68" s="923"/>
      <c r="D68" s="477">
        <f>SUM(D62:D64)</f>
        <v>0</v>
      </c>
      <c r="E68" s="253" t="e">
        <f>ROUND(I68/H68/F68*1000,5)</f>
        <v>#DIV/0!</v>
      </c>
      <c r="F68" s="478"/>
      <c r="G68" s="479">
        <f>SUM(G62:G64)</f>
        <v>0</v>
      </c>
      <c r="H68" s="480">
        <f>SUM(H62:H64)</f>
        <v>0</v>
      </c>
      <c r="I68" s="484">
        <f>SUM(I62:I64)</f>
        <v>0</v>
      </c>
      <c r="J68" s="253" t="e">
        <f>ROUND(N68/M68/K68*1000,5)</f>
        <v>#DIV/0!</v>
      </c>
      <c r="K68" s="478"/>
      <c r="L68" s="479">
        <f>SUM(L62:L64)</f>
        <v>0</v>
      </c>
      <c r="M68" s="480">
        <f>SUM(M62:M64)</f>
        <v>0</v>
      </c>
      <c r="N68" s="484">
        <f>SUM(N62:N64)</f>
        <v>0</v>
      </c>
    </row>
    <row r="69" spans="1:14" s="348" customFormat="1" ht="25.5" customHeight="1">
      <c r="A69" s="476"/>
      <c r="B69" s="482"/>
      <c r="C69" s="483"/>
      <c r="D69" s="477"/>
      <c r="E69" s="253"/>
      <c r="F69" s="478"/>
      <c r="G69" s="479"/>
      <c r="H69" s="480"/>
      <c r="I69" s="484"/>
      <c r="J69" s="253"/>
      <c r="K69" s="478"/>
      <c r="L69" s="479"/>
      <c r="M69" s="480"/>
      <c r="N69" s="484"/>
    </row>
    <row r="70" spans="1:15" s="208" customFormat="1" ht="15.75" customHeight="1">
      <c r="A70" s="274"/>
      <c r="B70" s="883" t="s">
        <v>157</v>
      </c>
      <c r="C70" s="883"/>
      <c r="D70" s="274"/>
      <c r="E70" s="274"/>
      <c r="F70" s="221"/>
      <c r="G70" s="222"/>
      <c r="H70" s="222"/>
      <c r="I70" s="222"/>
      <c r="J70" s="222"/>
      <c r="K70" s="222"/>
      <c r="L70" s="222"/>
      <c r="M70" s="274"/>
      <c r="N70" s="274"/>
      <c r="O70" s="274"/>
    </row>
    <row r="71" spans="1:15" s="208" customFormat="1" ht="15.75">
      <c r="A71" s="274"/>
      <c r="B71" s="394" t="s">
        <v>128</v>
      </c>
      <c r="C71" s="394"/>
      <c r="D71" s="274"/>
      <c r="E71" s="274"/>
      <c r="F71" s="221"/>
      <c r="G71" s="222"/>
      <c r="H71" s="222"/>
      <c r="I71" s="222"/>
      <c r="J71" s="222"/>
      <c r="K71" s="222"/>
      <c r="L71" s="222"/>
      <c r="M71" s="274"/>
      <c r="N71" s="274"/>
      <c r="O71" s="274"/>
    </row>
    <row r="73" spans="2:14" s="491" customFormat="1" ht="20.25" customHeight="1">
      <c r="B73" s="522" t="s">
        <v>168</v>
      </c>
      <c r="E73" s="523"/>
      <c r="F73" s="523"/>
      <c r="G73" s="523"/>
      <c r="H73" s="523"/>
      <c r="I73" s="523"/>
      <c r="J73" s="523"/>
      <c r="K73" s="523"/>
      <c r="L73" s="523"/>
      <c r="M73" s="523"/>
      <c r="N73" s="524"/>
    </row>
    <row r="74" spans="1:14" s="460" customFormat="1" ht="34.5" customHeight="1">
      <c r="A74" s="889" t="s">
        <v>105</v>
      </c>
      <c r="B74" s="952" t="s">
        <v>279</v>
      </c>
      <c r="C74" s="889" t="s">
        <v>107</v>
      </c>
      <c r="D74" s="889" t="s">
        <v>108</v>
      </c>
      <c r="E74" s="890" t="s">
        <v>131</v>
      </c>
      <c r="F74" s="890"/>
      <c r="G74" s="890"/>
      <c r="H74" s="890"/>
      <c r="I74" s="890"/>
      <c r="J74" s="899" t="s">
        <v>430</v>
      </c>
      <c r="K74" s="899"/>
      <c r="L74" s="899"/>
      <c r="M74" s="899"/>
      <c r="N74" s="899"/>
    </row>
    <row r="75" spans="1:14" s="460" customFormat="1" ht="86.25" customHeight="1">
      <c r="A75" s="889"/>
      <c r="B75" s="952"/>
      <c r="C75" s="889"/>
      <c r="D75" s="889"/>
      <c r="E75" s="525" t="s">
        <v>280</v>
      </c>
      <c r="F75" s="525" t="s">
        <v>111</v>
      </c>
      <c r="G75" s="525" t="s">
        <v>281</v>
      </c>
      <c r="H75" s="525" t="s">
        <v>240</v>
      </c>
      <c r="I75" s="525" t="s">
        <v>282</v>
      </c>
      <c r="J75" s="525" t="s">
        <v>280</v>
      </c>
      <c r="K75" s="525" t="s">
        <v>111</v>
      </c>
      <c r="L75" s="525" t="s">
        <v>281</v>
      </c>
      <c r="M75" s="526" t="s">
        <v>283</v>
      </c>
      <c r="N75" s="526" t="s">
        <v>284</v>
      </c>
    </row>
    <row r="76" spans="1:14" s="464" customFormat="1" ht="33.75" customHeight="1">
      <c r="A76" s="889"/>
      <c r="B76" s="952"/>
      <c r="C76" s="889"/>
      <c r="D76" s="889"/>
      <c r="E76" s="525" t="s">
        <v>243</v>
      </c>
      <c r="F76" s="525" t="s">
        <v>117</v>
      </c>
      <c r="G76" s="311" t="s">
        <v>118</v>
      </c>
      <c r="H76" s="311" t="s">
        <v>35</v>
      </c>
      <c r="I76" s="525" t="s">
        <v>244</v>
      </c>
      <c r="J76" s="525" t="s">
        <v>243</v>
      </c>
      <c r="K76" s="526" t="s">
        <v>117</v>
      </c>
      <c r="L76" s="311" t="s">
        <v>118</v>
      </c>
      <c r="M76" s="311" t="s">
        <v>35</v>
      </c>
      <c r="N76" s="526" t="s">
        <v>244</v>
      </c>
    </row>
    <row r="77" spans="1:14" s="467" customFormat="1" ht="11.25">
      <c r="A77" s="465">
        <v>1</v>
      </c>
      <c r="B77" s="225">
        <f>A77+1</f>
        <v>2</v>
      </c>
      <c r="C77" s="225">
        <f>B77+1</f>
        <v>3</v>
      </c>
      <c r="D77" s="225" t="s">
        <v>285</v>
      </c>
      <c r="E77" s="466">
        <f>C77+1</f>
        <v>4</v>
      </c>
      <c r="F77" s="466">
        <f aca="true" t="shared" si="12" ref="F77:N77">E77+1</f>
        <v>5</v>
      </c>
      <c r="G77" s="465">
        <f t="shared" si="12"/>
        <v>6</v>
      </c>
      <c r="H77" s="465">
        <f t="shared" si="12"/>
        <v>7</v>
      </c>
      <c r="I77" s="465">
        <f t="shared" si="12"/>
        <v>8</v>
      </c>
      <c r="J77" s="466">
        <f t="shared" si="12"/>
        <v>9</v>
      </c>
      <c r="K77" s="466">
        <f t="shared" si="12"/>
        <v>10</v>
      </c>
      <c r="L77" s="465">
        <f t="shared" si="12"/>
        <v>11</v>
      </c>
      <c r="M77" s="465">
        <f t="shared" si="12"/>
        <v>12</v>
      </c>
      <c r="N77" s="465">
        <f t="shared" si="12"/>
        <v>13</v>
      </c>
    </row>
    <row r="78" spans="1:14" s="414" customFormat="1" ht="12.75">
      <c r="A78" s="468">
        <v>1</v>
      </c>
      <c r="B78" s="468" t="s">
        <v>119</v>
      </c>
      <c r="C78" s="468" t="s">
        <v>286</v>
      </c>
      <c r="D78" s="468">
        <v>15</v>
      </c>
      <c r="E78" s="469">
        <f>'норм. ГВС  (3-1)'!G78+'норм. ХВС для ЦО (4-1) '!F77</f>
        <v>7.46</v>
      </c>
      <c r="F78" s="468">
        <v>2</v>
      </c>
      <c r="G78" s="314">
        <v>1.44</v>
      </c>
      <c r="H78" s="315">
        <v>42</v>
      </c>
      <c r="I78" s="527">
        <f>ROUND(E78*F78*H78/1000,5)</f>
        <v>0.62664</v>
      </c>
      <c r="J78" s="527">
        <v>7.46</v>
      </c>
      <c r="K78" s="468">
        <v>2</v>
      </c>
      <c r="L78" s="314">
        <f aca="true" t="shared" si="13" ref="L78:M81">G78</f>
        <v>1.44</v>
      </c>
      <c r="M78" s="314">
        <f t="shared" si="13"/>
        <v>42</v>
      </c>
      <c r="N78" s="527">
        <f>ROUND(J78*K78*M78/1000,5)</f>
        <v>0.62664</v>
      </c>
    </row>
    <row r="79" spans="1:14" s="414" customFormat="1" ht="12.75">
      <c r="A79" s="468">
        <v>2</v>
      </c>
      <c r="B79" s="468" t="s">
        <v>119</v>
      </c>
      <c r="C79" s="468" t="s">
        <v>286</v>
      </c>
      <c r="D79" s="468">
        <v>31</v>
      </c>
      <c r="E79" s="469">
        <f>'норм. ГВС  (3-1)'!G79+'норм. ХВС для ЦО (4-1) '!F78</f>
        <v>3.8600000000000003</v>
      </c>
      <c r="F79" s="468">
        <v>2</v>
      </c>
      <c r="G79" s="314">
        <v>7.36</v>
      </c>
      <c r="H79" s="315">
        <v>358</v>
      </c>
      <c r="I79" s="527">
        <f>ROUND(E79*F79*H79/1000,5)</f>
        <v>2.76376</v>
      </c>
      <c r="J79" s="527">
        <v>6.36</v>
      </c>
      <c r="K79" s="468">
        <v>2</v>
      </c>
      <c r="L79" s="314">
        <f t="shared" si="13"/>
        <v>7.36</v>
      </c>
      <c r="M79" s="314">
        <f t="shared" si="13"/>
        <v>358</v>
      </c>
      <c r="N79" s="527">
        <f>ROUND(J79*K79*M79/1000,5)</f>
        <v>4.55376</v>
      </c>
    </row>
    <row r="80" spans="1:14" s="473" customFormat="1" ht="12.75">
      <c r="A80" s="234"/>
      <c r="B80" s="234"/>
      <c r="C80" s="234"/>
      <c r="D80" s="234"/>
      <c r="E80" s="469">
        <v>0</v>
      </c>
      <c r="F80" s="468"/>
      <c r="G80" s="287"/>
      <c r="H80" s="528"/>
      <c r="I80" s="527">
        <f>ROUND(E80*F80*H80/1000,5)</f>
        <v>0</v>
      </c>
      <c r="J80" s="527">
        <f>'норм. ГВС  (3-1)'!N80+'норм. ХВС для ЦО (4-1) '!K79</f>
        <v>0</v>
      </c>
      <c r="K80" s="468"/>
      <c r="L80" s="314">
        <f t="shared" si="13"/>
        <v>0</v>
      </c>
      <c r="M80" s="314">
        <f t="shared" si="13"/>
        <v>0</v>
      </c>
      <c r="N80" s="527">
        <f>ROUND(J80*K80*M80/1000,5)</f>
        <v>0</v>
      </c>
    </row>
    <row r="81" spans="1:14" s="473" customFormat="1" ht="12.75">
      <c r="A81" s="234"/>
      <c r="B81" s="529"/>
      <c r="C81" s="530"/>
      <c r="D81" s="530"/>
      <c r="E81" s="469">
        <f>'норм. ГВС  (3-1)'!G81+'норм. ХВС для ЦО (4-1) '!F80</f>
        <v>0</v>
      </c>
      <c r="F81" s="468"/>
      <c r="G81" s="287"/>
      <c r="H81" s="528"/>
      <c r="I81" s="527">
        <f>ROUND(E81*F81*H81/1000,5)</f>
        <v>0</v>
      </c>
      <c r="J81" s="527">
        <f>'норм. ГВС  (3-1)'!N81+'норм. ХВС для ЦО (4-1) '!K80</f>
        <v>0</v>
      </c>
      <c r="K81" s="468"/>
      <c r="L81" s="314">
        <f t="shared" si="13"/>
        <v>0</v>
      </c>
      <c r="M81" s="314">
        <f t="shared" si="13"/>
        <v>0</v>
      </c>
      <c r="N81" s="527">
        <f>ROUND(J81*K81*M81/1000,5)</f>
        <v>0</v>
      </c>
    </row>
    <row r="82" spans="1:14" s="473" customFormat="1" ht="12.75">
      <c r="A82" s="234"/>
      <c r="B82" s="385"/>
      <c r="C82" s="385"/>
      <c r="D82" s="385" t="s">
        <v>287</v>
      </c>
      <c r="E82" s="472"/>
      <c r="F82" s="468"/>
      <c r="G82" s="287"/>
      <c r="H82" s="528"/>
      <c r="I82" s="527"/>
      <c r="J82" s="531"/>
      <c r="K82" s="468"/>
      <c r="L82" s="314"/>
      <c r="M82" s="314"/>
      <c r="N82" s="527"/>
    </row>
    <row r="83" spans="1:14" s="460" customFormat="1" ht="15.75">
      <c r="A83" s="532"/>
      <c r="B83" s="533"/>
      <c r="C83" s="533"/>
      <c r="D83" s="533"/>
      <c r="E83" s="534"/>
      <c r="F83" s="468"/>
      <c r="G83" s="535"/>
      <c r="H83" s="536"/>
      <c r="I83" s="527"/>
      <c r="J83" s="537"/>
      <c r="K83" s="468"/>
      <c r="L83" s="314"/>
      <c r="M83" s="314"/>
      <c r="N83" s="527"/>
    </row>
    <row r="84" spans="1:14" s="348" customFormat="1" ht="25.5" customHeight="1">
      <c r="A84" s="476"/>
      <c r="B84" s="950" t="s">
        <v>246</v>
      </c>
      <c r="C84" s="950"/>
      <c r="D84" s="479">
        <f>SUM(D78:D83)</f>
        <v>46</v>
      </c>
      <c r="E84" s="253">
        <f>ROUND(I84/H84/F84*1000,5)</f>
        <v>4.238</v>
      </c>
      <c r="F84" s="478">
        <v>2</v>
      </c>
      <c r="G84" s="479">
        <f>SUM(G78:G83)</f>
        <v>8.8</v>
      </c>
      <c r="H84" s="480">
        <f>SUM(H78:H83)</f>
        <v>400</v>
      </c>
      <c r="I84" s="479">
        <f>SUM(I78:I83)</f>
        <v>3.3904</v>
      </c>
      <c r="J84" s="253">
        <f>ROUND(N84/M84/K84*1000,5)</f>
        <v>6.4755</v>
      </c>
      <c r="K84" s="478">
        <v>2</v>
      </c>
      <c r="L84" s="479">
        <f>SUM(L78:L83)</f>
        <v>8.8</v>
      </c>
      <c r="M84" s="538">
        <f>SUM(M78:M83)</f>
        <v>400</v>
      </c>
      <c r="N84" s="543">
        <f>SUM(N78:N83)</f>
        <v>5.1804</v>
      </c>
    </row>
    <row r="85" spans="1:14" s="348" customFormat="1" ht="12.75">
      <c r="A85" s="193"/>
      <c r="B85" s="361"/>
      <c r="C85" s="361"/>
      <c r="D85" s="361"/>
      <c r="E85" s="255"/>
      <c r="F85" s="485"/>
      <c r="G85" s="363"/>
      <c r="H85" s="363"/>
      <c r="I85" s="488"/>
      <c r="J85" s="363"/>
      <c r="K85" s="485"/>
      <c r="L85" s="363"/>
      <c r="M85" s="363"/>
      <c r="N85" s="488"/>
    </row>
    <row r="87" spans="1:22" s="460" customFormat="1" ht="18" customHeight="1">
      <c r="A87" s="539"/>
      <c r="B87" s="540" t="s">
        <v>247</v>
      </c>
      <c r="C87" s="539"/>
      <c r="D87" s="539"/>
      <c r="E87" s="539"/>
      <c r="F87" s="541"/>
      <c r="G87" s="542"/>
      <c r="H87" s="542"/>
      <c r="I87" s="542"/>
      <c r="J87" s="542"/>
      <c r="K87" s="542"/>
      <c r="L87" s="542"/>
      <c r="M87" s="542"/>
      <c r="N87" s="542"/>
      <c r="O87" s="542"/>
      <c r="P87" s="539"/>
      <c r="Q87" s="539"/>
      <c r="R87" s="539"/>
      <c r="S87" s="539"/>
      <c r="T87" s="539"/>
      <c r="U87" s="539"/>
      <c r="V87" s="539"/>
    </row>
    <row r="88" spans="1:14" ht="13.5" customHeight="1">
      <c r="A88"/>
      <c r="B88"/>
      <c r="C88"/>
      <c r="D88"/>
      <c r="E88" s="930"/>
      <c r="F88" s="930"/>
      <c r="G88" s="930"/>
      <c r="H88" s="930"/>
      <c r="I88" s="930"/>
      <c r="J88" s="930"/>
      <c r="K88" s="930"/>
      <c r="L88" s="930"/>
      <c r="M88" s="930"/>
      <c r="N88" s="930"/>
    </row>
    <row r="89" spans="1:14" s="460" customFormat="1" ht="34.5" customHeight="1">
      <c r="A89" s="889" t="s">
        <v>105</v>
      </c>
      <c r="B89" s="926" t="s">
        <v>106</v>
      </c>
      <c r="C89" s="889" t="s">
        <v>107</v>
      </c>
      <c r="D89" s="889" t="s">
        <v>108</v>
      </c>
      <c r="E89" s="890" t="s">
        <v>131</v>
      </c>
      <c r="F89" s="890"/>
      <c r="G89" s="890"/>
      <c r="H89" s="890"/>
      <c r="I89" s="890"/>
      <c r="J89" s="899" t="s">
        <v>430</v>
      </c>
      <c r="K89" s="899"/>
      <c r="L89" s="899"/>
      <c r="M89" s="899"/>
      <c r="N89" s="899"/>
    </row>
    <row r="90" spans="1:14" s="460" customFormat="1" ht="111" customHeight="1">
      <c r="A90" s="889"/>
      <c r="B90" s="926"/>
      <c r="C90" s="889"/>
      <c r="D90" s="889"/>
      <c r="E90" s="248" t="s">
        <v>248</v>
      </c>
      <c r="F90" s="457" t="s">
        <v>111</v>
      </c>
      <c r="G90" s="457" t="s">
        <v>281</v>
      </c>
      <c r="H90" s="457" t="s">
        <v>240</v>
      </c>
      <c r="I90" s="457" t="s">
        <v>288</v>
      </c>
      <c r="J90" s="248" t="s">
        <v>251</v>
      </c>
      <c r="K90" s="457" t="s">
        <v>111</v>
      </c>
      <c r="L90" s="457" t="s">
        <v>281</v>
      </c>
      <c r="M90" s="459" t="s">
        <v>240</v>
      </c>
      <c r="N90" s="459" t="s">
        <v>289</v>
      </c>
    </row>
    <row r="91" spans="1:14" s="464" customFormat="1" ht="25.5" customHeight="1">
      <c r="A91" s="889"/>
      <c r="B91" s="926"/>
      <c r="C91" s="889"/>
      <c r="D91" s="889"/>
      <c r="E91" s="461" t="s">
        <v>253</v>
      </c>
      <c r="F91" s="461" t="s">
        <v>117</v>
      </c>
      <c r="G91" s="311" t="s">
        <v>118</v>
      </c>
      <c r="H91" s="311" t="s">
        <v>35</v>
      </c>
      <c r="I91" s="463" t="s">
        <v>244</v>
      </c>
      <c r="J91" s="463" t="s">
        <v>245</v>
      </c>
      <c r="K91" s="461" t="s">
        <v>117</v>
      </c>
      <c r="L91" s="311" t="s">
        <v>118</v>
      </c>
      <c r="M91" s="311" t="s">
        <v>35</v>
      </c>
      <c r="N91" s="463" t="s">
        <v>244</v>
      </c>
    </row>
    <row r="92" spans="1:14" s="467" customFormat="1" ht="11.25">
      <c r="A92" s="465">
        <v>1</v>
      </c>
      <c r="B92" s="225">
        <f aca="true" t="shared" si="14" ref="B92:N92">A92+1</f>
        <v>2</v>
      </c>
      <c r="C92" s="225">
        <f t="shared" si="14"/>
        <v>3</v>
      </c>
      <c r="D92" s="225">
        <f t="shared" si="14"/>
        <v>4</v>
      </c>
      <c r="E92" s="466">
        <f t="shared" si="14"/>
        <v>5</v>
      </c>
      <c r="F92" s="466">
        <f t="shared" si="14"/>
        <v>6</v>
      </c>
      <c r="G92" s="465">
        <f t="shared" si="14"/>
        <v>7</v>
      </c>
      <c r="H92" s="465">
        <f t="shared" si="14"/>
        <v>8</v>
      </c>
      <c r="I92" s="465">
        <f t="shared" si="14"/>
        <v>9</v>
      </c>
      <c r="J92" s="466">
        <f t="shared" si="14"/>
        <v>10</v>
      </c>
      <c r="K92" s="466">
        <f t="shared" si="14"/>
        <v>11</v>
      </c>
      <c r="L92" s="465">
        <f t="shared" si="14"/>
        <v>12</v>
      </c>
      <c r="M92" s="465">
        <f t="shared" si="14"/>
        <v>13</v>
      </c>
      <c r="N92" s="465">
        <f t="shared" si="14"/>
        <v>14</v>
      </c>
    </row>
    <row r="93" spans="1:14" s="414" customFormat="1" ht="12.75">
      <c r="A93" s="468">
        <v>1</v>
      </c>
      <c r="B93" s="468"/>
      <c r="C93" s="468"/>
      <c r="D93" s="468"/>
      <c r="E93" s="469"/>
      <c r="F93" s="468"/>
      <c r="G93" s="470"/>
      <c r="H93" s="471"/>
      <c r="I93" s="527">
        <f aca="true" t="shared" si="15" ref="I93:I98">ROUND(E93*F93/1000,5)</f>
        <v>0</v>
      </c>
      <c r="J93" s="469"/>
      <c r="K93" s="468"/>
      <c r="L93" s="470">
        <f aca="true" t="shared" si="16" ref="L93:M96">G93</f>
        <v>0</v>
      </c>
      <c r="M93" s="470">
        <f t="shared" si="16"/>
        <v>0</v>
      </c>
      <c r="N93" s="527">
        <f aca="true" t="shared" si="17" ref="N93:N98">ROUND(J93*K93/1000,5)</f>
        <v>0</v>
      </c>
    </row>
    <row r="94" spans="1:14" s="414" customFormat="1" ht="12.75">
      <c r="A94" s="468"/>
      <c r="B94" s="468"/>
      <c r="C94" s="468"/>
      <c r="D94" s="468"/>
      <c r="E94" s="469"/>
      <c r="F94" s="468"/>
      <c r="G94" s="470"/>
      <c r="H94" s="471"/>
      <c r="I94" s="527">
        <f t="shared" si="15"/>
        <v>0</v>
      </c>
      <c r="J94" s="469"/>
      <c r="K94" s="468"/>
      <c r="L94" s="470">
        <f t="shared" si="16"/>
        <v>0</v>
      </c>
      <c r="M94" s="470">
        <f t="shared" si="16"/>
        <v>0</v>
      </c>
      <c r="N94" s="527">
        <f t="shared" si="17"/>
        <v>0</v>
      </c>
    </row>
    <row r="95" spans="1:14" s="473" customFormat="1" ht="12.75">
      <c r="A95" s="234"/>
      <c r="B95" s="468"/>
      <c r="C95" s="468"/>
      <c r="D95" s="468"/>
      <c r="E95" s="469"/>
      <c r="F95" s="468"/>
      <c r="G95" s="287"/>
      <c r="H95" s="471"/>
      <c r="I95" s="527">
        <f t="shared" si="15"/>
        <v>0</v>
      </c>
      <c r="J95" s="469"/>
      <c r="K95" s="468"/>
      <c r="L95" s="470">
        <f t="shared" si="16"/>
        <v>0</v>
      </c>
      <c r="M95" s="470">
        <f t="shared" si="16"/>
        <v>0</v>
      </c>
      <c r="N95" s="527">
        <f t="shared" si="17"/>
        <v>0</v>
      </c>
    </row>
    <row r="96" spans="1:14" s="473" customFormat="1" ht="12.75">
      <c r="A96" s="234"/>
      <c r="B96" s="474"/>
      <c r="C96" s="475"/>
      <c r="D96" s="468"/>
      <c r="E96" s="469"/>
      <c r="F96" s="468"/>
      <c r="G96" s="287"/>
      <c r="H96" s="471"/>
      <c r="I96" s="527">
        <f t="shared" si="15"/>
        <v>0</v>
      </c>
      <c r="J96" s="469"/>
      <c r="K96" s="468"/>
      <c r="L96" s="470">
        <f t="shared" si="16"/>
        <v>0</v>
      </c>
      <c r="M96" s="470">
        <f t="shared" si="16"/>
        <v>0</v>
      </c>
      <c r="N96" s="527">
        <f t="shared" si="17"/>
        <v>0</v>
      </c>
    </row>
    <row r="97" spans="1:14" s="473" customFormat="1" ht="12.75">
      <c r="A97" s="234"/>
      <c r="B97" s="474"/>
      <c r="C97" s="475"/>
      <c r="D97" s="468"/>
      <c r="E97" s="472"/>
      <c r="F97" s="468"/>
      <c r="G97" s="287"/>
      <c r="H97" s="471"/>
      <c r="I97" s="527">
        <f t="shared" si="15"/>
        <v>0</v>
      </c>
      <c r="J97" s="472"/>
      <c r="K97" s="468"/>
      <c r="L97" s="470"/>
      <c r="M97" s="468"/>
      <c r="N97" s="527">
        <f t="shared" si="17"/>
        <v>0</v>
      </c>
    </row>
    <row r="98" spans="1:14" s="473" customFormat="1" ht="12.75">
      <c r="A98" s="234"/>
      <c r="B98" s="474"/>
      <c r="C98" s="475"/>
      <c r="D98" s="468"/>
      <c r="E98" s="472"/>
      <c r="F98" s="468"/>
      <c r="G98" s="287"/>
      <c r="H98" s="471"/>
      <c r="I98" s="527">
        <f t="shared" si="15"/>
        <v>0</v>
      </c>
      <c r="J98" s="472"/>
      <c r="K98" s="468"/>
      <c r="L98" s="470"/>
      <c r="M98" s="468"/>
      <c r="N98" s="527">
        <f t="shared" si="17"/>
        <v>0</v>
      </c>
    </row>
    <row r="99" spans="1:14" s="348" customFormat="1" ht="25.5" customHeight="1">
      <c r="A99" s="476"/>
      <c r="B99" s="923" t="s">
        <v>246</v>
      </c>
      <c r="C99" s="923"/>
      <c r="D99" s="477">
        <f>SUM(D93:D95)</f>
        <v>0</v>
      </c>
      <c r="E99" s="253" t="e">
        <f>ROUND(I99/H99/F99*1000,5)</f>
        <v>#DIV/0!</v>
      </c>
      <c r="F99" s="478"/>
      <c r="G99" s="479">
        <f>SUM(G93:G95)</f>
        <v>0</v>
      </c>
      <c r="H99" s="480">
        <f>SUM(H93:H95)</f>
        <v>0</v>
      </c>
      <c r="I99" s="484">
        <f>SUM(I93:I95)</f>
        <v>0</v>
      </c>
      <c r="J99" s="253" t="e">
        <f>ROUND(N99/M99/K99*1000,5)</f>
        <v>#DIV/0!</v>
      </c>
      <c r="K99" s="478"/>
      <c r="L99" s="479">
        <f>SUM(L93:L95)</f>
        <v>0</v>
      </c>
      <c r="M99" s="480">
        <f>SUM(M93:M95)</f>
        <v>0</v>
      </c>
      <c r="N99" s="484">
        <f>SUM(N93:N95)</f>
        <v>0</v>
      </c>
    </row>
    <row r="100" spans="1:14" s="348" customFormat="1" ht="25.5" customHeight="1">
      <c r="A100" s="476"/>
      <c r="B100" s="482"/>
      <c r="C100" s="483"/>
      <c r="D100" s="477"/>
      <c r="E100" s="253"/>
      <c r="F100" s="478"/>
      <c r="G100" s="479"/>
      <c r="H100" s="480"/>
      <c r="I100" s="484"/>
      <c r="J100" s="253"/>
      <c r="K100" s="478"/>
      <c r="L100" s="479"/>
      <c r="M100" s="480"/>
      <c r="N100" s="484"/>
    </row>
    <row r="101" spans="1:14" s="348" customFormat="1" ht="17.25" customHeight="1">
      <c r="A101" s="193"/>
      <c r="B101" s="951"/>
      <c r="C101" s="951"/>
      <c r="D101" s="951"/>
      <c r="E101" s="951"/>
      <c r="F101" s="951"/>
      <c r="G101" s="951"/>
      <c r="H101" s="951"/>
      <c r="I101" s="951"/>
      <c r="J101" s="951"/>
      <c r="K101" s="951"/>
      <c r="L101" s="951"/>
      <c r="M101" s="951"/>
      <c r="N101" s="951"/>
    </row>
    <row r="102" spans="1:15" s="208" customFormat="1" ht="14.25" customHeight="1">
      <c r="A102" s="274"/>
      <c r="B102" s="883" t="s">
        <v>157</v>
      </c>
      <c r="C102" s="883"/>
      <c r="D102" s="274"/>
      <c r="E102" s="274"/>
      <c r="F102" s="221"/>
      <c r="G102" s="222"/>
      <c r="H102" s="222"/>
      <c r="I102" s="222"/>
      <c r="J102" s="222"/>
      <c r="K102" s="222"/>
      <c r="L102" s="222"/>
      <c r="M102" s="274"/>
      <c r="N102" s="274"/>
      <c r="O102" s="274"/>
    </row>
    <row r="103" spans="1:15" s="208" customFormat="1" ht="15.75">
      <c r="A103" s="274"/>
      <c r="B103" s="394" t="s">
        <v>255</v>
      </c>
      <c r="C103" s="394"/>
      <c r="D103" s="274"/>
      <c r="E103" s="274"/>
      <c r="F103" s="221"/>
      <c r="G103" s="222"/>
      <c r="H103" s="222"/>
      <c r="I103" s="222"/>
      <c r="J103" s="222"/>
      <c r="K103" s="222"/>
      <c r="L103" s="222"/>
      <c r="M103" s="274"/>
      <c r="N103" s="274"/>
      <c r="O103" s="274"/>
    </row>
    <row r="104" spans="2:14" s="491" customFormat="1" ht="20.25" customHeight="1">
      <c r="B104" s="522" t="s">
        <v>168</v>
      </c>
      <c r="E104" s="523"/>
      <c r="F104" s="523"/>
      <c r="G104" s="523"/>
      <c r="H104" s="523"/>
      <c r="I104" s="523"/>
      <c r="J104" s="523"/>
      <c r="K104" s="523"/>
      <c r="L104" s="523"/>
      <c r="M104" s="523"/>
      <c r="N104" s="524"/>
    </row>
    <row r="105" spans="1:14" s="460" customFormat="1" ht="34.5" customHeight="1">
      <c r="A105" s="889" t="s">
        <v>105</v>
      </c>
      <c r="B105" s="952" t="s">
        <v>279</v>
      </c>
      <c r="C105" s="889" t="s">
        <v>107</v>
      </c>
      <c r="D105" s="889" t="s">
        <v>108</v>
      </c>
      <c r="E105" s="890" t="s">
        <v>162</v>
      </c>
      <c r="F105" s="890"/>
      <c r="G105" s="890"/>
      <c r="H105" s="890"/>
      <c r="I105" s="890"/>
      <c r="J105" s="899" t="s">
        <v>431</v>
      </c>
      <c r="K105" s="899"/>
      <c r="L105" s="899"/>
      <c r="M105" s="899"/>
      <c r="N105" s="899"/>
    </row>
    <row r="106" spans="1:14" s="460" customFormat="1" ht="86.25" customHeight="1">
      <c r="A106" s="889"/>
      <c r="B106" s="952"/>
      <c r="C106" s="889"/>
      <c r="D106" s="889"/>
      <c r="E106" s="525" t="s">
        <v>280</v>
      </c>
      <c r="F106" s="525" t="s">
        <v>111</v>
      </c>
      <c r="G106" s="525" t="s">
        <v>281</v>
      </c>
      <c r="H106" s="525" t="s">
        <v>240</v>
      </c>
      <c r="I106" s="525" t="s">
        <v>282</v>
      </c>
      <c r="J106" s="525" t="s">
        <v>280</v>
      </c>
      <c r="K106" s="525" t="s">
        <v>111</v>
      </c>
      <c r="L106" s="525" t="s">
        <v>281</v>
      </c>
      <c r="M106" s="526" t="s">
        <v>283</v>
      </c>
      <c r="N106" s="526" t="s">
        <v>284</v>
      </c>
    </row>
    <row r="107" spans="1:14" s="464" customFormat="1" ht="33.75" customHeight="1">
      <c r="A107" s="889"/>
      <c r="B107" s="952"/>
      <c r="C107" s="889"/>
      <c r="D107" s="889"/>
      <c r="E107" s="525" t="s">
        <v>243</v>
      </c>
      <c r="F107" s="525" t="s">
        <v>117</v>
      </c>
      <c r="G107" s="311" t="s">
        <v>118</v>
      </c>
      <c r="H107" s="311" t="s">
        <v>35</v>
      </c>
      <c r="I107" s="525" t="s">
        <v>244</v>
      </c>
      <c r="J107" s="525" t="s">
        <v>243</v>
      </c>
      <c r="K107" s="526" t="s">
        <v>117</v>
      </c>
      <c r="L107" s="311" t="s">
        <v>118</v>
      </c>
      <c r="M107" s="311" t="s">
        <v>35</v>
      </c>
      <c r="N107" s="526" t="s">
        <v>244</v>
      </c>
    </row>
    <row r="108" spans="1:14" s="467" customFormat="1" ht="11.25">
      <c r="A108" s="465">
        <v>1</v>
      </c>
      <c r="B108" s="225">
        <f>A108+1</f>
        <v>2</v>
      </c>
      <c r="C108" s="225">
        <f>B108+1</f>
        <v>3</v>
      </c>
      <c r="D108" s="225" t="s">
        <v>285</v>
      </c>
      <c r="E108" s="466">
        <f>C108+1</f>
        <v>4</v>
      </c>
      <c r="F108" s="466">
        <f aca="true" t="shared" si="18" ref="F108:N108">E108+1</f>
        <v>5</v>
      </c>
      <c r="G108" s="465">
        <f t="shared" si="18"/>
        <v>6</v>
      </c>
      <c r="H108" s="465">
        <f t="shared" si="18"/>
        <v>7</v>
      </c>
      <c r="I108" s="465">
        <f t="shared" si="18"/>
        <v>8</v>
      </c>
      <c r="J108" s="466">
        <f t="shared" si="18"/>
        <v>9</v>
      </c>
      <c r="K108" s="466">
        <f t="shared" si="18"/>
        <v>10</v>
      </c>
      <c r="L108" s="465">
        <f t="shared" si="18"/>
        <v>11</v>
      </c>
      <c r="M108" s="465">
        <f t="shared" si="18"/>
        <v>12</v>
      </c>
      <c r="N108" s="465">
        <f t="shared" si="18"/>
        <v>13</v>
      </c>
    </row>
    <row r="109" spans="1:14" s="414" customFormat="1" ht="12.75">
      <c r="A109" s="468">
        <v>1</v>
      </c>
      <c r="B109" s="468" t="s">
        <v>119</v>
      </c>
      <c r="C109" s="468" t="s">
        <v>286</v>
      </c>
      <c r="D109" s="468">
        <v>15</v>
      </c>
      <c r="E109" s="469">
        <f>'норм. ГВС  (3-1)'!G110+'норм. ХВС для ЦО (4-1) '!F109</f>
        <v>7.46</v>
      </c>
      <c r="F109" s="468">
        <v>4</v>
      </c>
      <c r="G109" s="314">
        <v>1.44</v>
      </c>
      <c r="H109" s="315">
        <v>42</v>
      </c>
      <c r="I109" s="527">
        <f>ROUND(E109*F109*H109/1000,5)</f>
        <v>1.25328</v>
      </c>
      <c r="J109" s="527">
        <f>'норм. ГВС  (3-1)'!N110+'норм. ХВС для ЦО (4-1) '!K109</f>
        <v>7.46</v>
      </c>
      <c r="K109" s="468">
        <v>4</v>
      </c>
      <c r="L109" s="314">
        <f aca="true" t="shared" si="19" ref="L109:M112">G109</f>
        <v>1.44</v>
      </c>
      <c r="M109" s="314">
        <f t="shared" si="19"/>
        <v>42</v>
      </c>
      <c r="N109" s="527">
        <f>ROUND(J109*K109*M109/1000,5)</f>
        <v>1.25328</v>
      </c>
    </row>
    <row r="110" spans="1:14" s="414" customFormat="1" ht="12.75">
      <c r="A110" s="468">
        <v>2</v>
      </c>
      <c r="B110" s="468" t="s">
        <v>119</v>
      </c>
      <c r="C110" s="468" t="s">
        <v>286</v>
      </c>
      <c r="D110" s="468">
        <v>31</v>
      </c>
      <c r="E110" s="469">
        <f>'норм. ГВС  (3-1)'!G111+'норм. ХВС для ЦО (4-1) '!F110</f>
        <v>3.8600000000000003</v>
      </c>
      <c r="F110" s="468">
        <v>4</v>
      </c>
      <c r="G110" s="314">
        <v>7.36</v>
      </c>
      <c r="H110" s="315">
        <v>358</v>
      </c>
      <c r="I110" s="527">
        <f>ROUND(E110*F110*H110/1000,5)</f>
        <v>5.52752</v>
      </c>
      <c r="J110" s="527">
        <f>'норм. ГВС  (3-1)'!N111+'норм. ХВС для ЦО (4-1) '!K110</f>
        <v>3.8600000000000003</v>
      </c>
      <c r="K110" s="468">
        <v>4</v>
      </c>
      <c r="L110" s="314">
        <f t="shared" si="19"/>
        <v>7.36</v>
      </c>
      <c r="M110" s="314">
        <f t="shared" si="19"/>
        <v>358</v>
      </c>
      <c r="N110" s="527">
        <f>ROUND(J110*K110*M110/1000,5)</f>
        <v>5.52752</v>
      </c>
    </row>
    <row r="111" spans="1:14" s="473" customFormat="1" ht="12.75">
      <c r="A111" s="234"/>
      <c r="B111" s="234"/>
      <c r="C111" s="234"/>
      <c r="D111" s="234"/>
      <c r="E111" s="469">
        <v>0</v>
      </c>
      <c r="F111" s="468"/>
      <c r="G111" s="287"/>
      <c r="H111" s="528"/>
      <c r="I111" s="527">
        <f>ROUND(E111*F111*H111/1000,5)</f>
        <v>0</v>
      </c>
      <c r="J111" s="527">
        <v>0</v>
      </c>
      <c r="K111" s="468"/>
      <c r="L111" s="314">
        <f t="shared" si="19"/>
        <v>0</v>
      </c>
      <c r="M111" s="314">
        <f t="shared" si="19"/>
        <v>0</v>
      </c>
      <c r="N111" s="527">
        <f>ROUND(J111*K111*M111/1000,5)</f>
        <v>0</v>
      </c>
    </row>
    <row r="112" spans="1:14" s="473" customFormat="1" ht="12.75">
      <c r="A112" s="234"/>
      <c r="B112" s="529"/>
      <c r="C112" s="530"/>
      <c r="D112" s="530"/>
      <c r="E112" s="469">
        <f>'норм. ГВС  (3-1)'!G113+'норм. ХВС для ЦО (4-1) '!F112</f>
        <v>0</v>
      </c>
      <c r="F112" s="468"/>
      <c r="G112" s="287"/>
      <c r="H112" s="528"/>
      <c r="I112" s="527">
        <f>ROUND(E112*F112*H112/1000,5)</f>
        <v>0</v>
      </c>
      <c r="J112" s="527">
        <f>'норм. ГВС  (3-1)'!N113+'норм. ХВС для ЦО (4-1) '!K112</f>
        <v>0</v>
      </c>
      <c r="K112" s="468"/>
      <c r="L112" s="314">
        <f t="shared" si="19"/>
        <v>0</v>
      </c>
      <c r="M112" s="314">
        <f t="shared" si="19"/>
        <v>0</v>
      </c>
      <c r="N112" s="527">
        <f>ROUND(J112*K112*M112/1000,5)</f>
        <v>0</v>
      </c>
    </row>
    <row r="113" spans="1:14" s="473" customFormat="1" ht="12.75">
      <c r="A113" s="234"/>
      <c r="B113" s="385"/>
      <c r="C113" s="385"/>
      <c r="D113" s="385" t="s">
        <v>287</v>
      </c>
      <c r="E113" s="472"/>
      <c r="F113" s="468"/>
      <c r="G113" s="287"/>
      <c r="H113" s="528"/>
      <c r="I113" s="527"/>
      <c r="J113" s="531"/>
      <c r="K113" s="468"/>
      <c r="L113" s="314"/>
      <c r="M113" s="314"/>
      <c r="N113" s="527"/>
    </row>
    <row r="114" spans="1:14" s="460" customFormat="1" ht="15.75">
      <c r="A114" s="532"/>
      <c r="B114" s="533"/>
      <c r="C114" s="533"/>
      <c r="D114" s="533"/>
      <c r="E114" s="534"/>
      <c r="F114" s="468"/>
      <c r="G114" s="535"/>
      <c r="H114" s="536"/>
      <c r="I114" s="527"/>
      <c r="J114" s="537"/>
      <c r="K114" s="468"/>
      <c r="L114" s="314"/>
      <c r="M114" s="314"/>
      <c r="N114" s="527"/>
    </row>
    <row r="115" spans="1:14" s="348" customFormat="1" ht="25.5" customHeight="1">
      <c r="A115" s="476"/>
      <c r="B115" s="950" t="s">
        <v>246</v>
      </c>
      <c r="C115" s="950"/>
      <c r="D115" s="479">
        <f>SUM(D109:D114)</f>
        <v>46</v>
      </c>
      <c r="E115" s="253">
        <f>ROUND(I115/H115/F115*1000,5)</f>
        <v>4.238</v>
      </c>
      <c r="F115" s="478">
        <v>4</v>
      </c>
      <c r="G115" s="479">
        <f>SUM(G109:G114)</f>
        <v>8.8</v>
      </c>
      <c r="H115" s="480">
        <f>SUM(H109:H114)</f>
        <v>400</v>
      </c>
      <c r="I115" s="479">
        <f>SUM(I109:I114)</f>
        <v>6.7808</v>
      </c>
      <c r="J115" s="253">
        <f>ROUND(N115/M115/K115*1000,5)</f>
        <v>4.238</v>
      </c>
      <c r="K115" s="478">
        <v>4</v>
      </c>
      <c r="L115" s="479">
        <f>SUM(L109:L114)</f>
        <v>8.8</v>
      </c>
      <c r="M115" s="538">
        <f>SUM(M109:M114)</f>
        <v>400</v>
      </c>
      <c r="N115" s="543">
        <f>SUM(N109:N114)</f>
        <v>6.7808</v>
      </c>
    </row>
    <row r="116" spans="1:14" s="348" customFormat="1" ht="12.75">
      <c r="A116" s="193"/>
      <c r="B116" s="361"/>
      <c r="C116" s="361"/>
      <c r="D116" s="361"/>
      <c r="E116" s="255"/>
      <c r="F116" s="485"/>
      <c r="G116" s="363"/>
      <c r="H116" s="363"/>
      <c r="I116" s="488"/>
      <c r="J116" s="363"/>
      <c r="K116" s="485"/>
      <c r="L116" s="363"/>
      <c r="M116" s="363"/>
      <c r="N116" s="488"/>
    </row>
    <row r="118" spans="1:6" s="460" customFormat="1" ht="15.75">
      <c r="A118" s="489"/>
      <c r="B118" s="206"/>
      <c r="C118" s="206"/>
      <c r="D118" s="206"/>
      <c r="E118" s="206"/>
      <c r="F118" s="206"/>
    </row>
    <row r="120" spans="1:22" s="460" customFormat="1" ht="18" customHeight="1">
      <c r="A120" s="539"/>
      <c r="B120" s="540" t="s">
        <v>247</v>
      </c>
      <c r="C120" s="539"/>
      <c r="D120" s="539"/>
      <c r="E120" s="539"/>
      <c r="F120" s="541"/>
      <c r="G120" s="542"/>
      <c r="H120" s="542"/>
      <c r="I120" s="542"/>
      <c r="J120" s="542"/>
      <c r="K120" s="542"/>
      <c r="L120" s="542"/>
      <c r="M120" s="542"/>
      <c r="N120" s="542"/>
      <c r="O120" s="542"/>
      <c r="P120" s="539"/>
      <c r="Q120" s="539"/>
      <c r="R120" s="539"/>
      <c r="S120" s="539"/>
      <c r="T120" s="539"/>
      <c r="U120" s="539"/>
      <c r="V120" s="539"/>
    </row>
    <row r="121" spans="1:14" ht="13.5" customHeight="1">
      <c r="A121"/>
      <c r="B121"/>
      <c r="C121"/>
      <c r="D121"/>
      <c r="E121" s="930"/>
      <c r="F121" s="930"/>
      <c r="G121" s="930"/>
      <c r="H121" s="930"/>
      <c r="I121" s="930"/>
      <c r="J121" s="930"/>
      <c r="K121" s="930"/>
      <c r="L121" s="930"/>
      <c r="M121" s="930"/>
      <c r="N121" s="930"/>
    </row>
    <row r="122" spans="1:14" s="460" customFormat="1" ht="34.5" customHeight="1">
      <c r="A122" s="889" t="s">
        <v>105</v>
      </c>
      <c r="B122" s="926" t="s">
        <v>106</v>
      </c>
      <c r="C122" s="889" t="s">
        <v>107</v>
      </c>
      <c r="D122" s="889" t="s">
        <v>108</v>
      </c>
      <c r="E122" s="890" t="s">
        <v>162</v>
      </c>
      <c r="F122" s="890"/>
      <c r="G122" s="890"/>
      <c r="H122" s="890"/>
      <c r="I122" s="890"/>
      <c r="J122" s="899" t="s">
        <v>431</v>
      </c>
      <c r="K122" s="899"/>
      <c r="L122" s="899"/>
      <c r="M122" s="899"/>
      <c r="N122" s="899"/>
    </row>
    <row r="123" spans="1:14" s="460" customFormat="1" ht="111" customHeight="1">
      <c r="A123" s="889"/>
      <c r="B123" s="926"/>
      <c r="C123" s="889"/>
      <c r="D123" s="889"/>
      <c r="E123" s="248" t="s">
        <v>248</v>
      </c>
      <c r="F123" s="457" t="s">
        <v>111</v>
      </c>
      <c r="G123" s="457" t="s">
        <v>281</v>
      </c>
      <c r="H123" s="457" t="s">
        <v>240</v>
      </c>
      <c r="I123" s="457" t="s">
        <v>288</v>
      </c>
      <c r="J123" s="248" t="s">
        <v>251</v>
      </c>
      <c r="K123" s="457" t="s">
        <v>111</v>
      </c>
      <c r="L123" s="457" t="s">
        <v>281</v>
      </c>
      <c r="M123" s="459" t="s">
        <v>240</v>
      </c>
      <c r="N123" s="459" t="s">
        <v>289</v>
      </c>
    </row>
    <row r="124" spans="1:14" s="464" customFormat="1" ht="25.5" customHeight="1">
      <c r="A124" s="889"/>
      <c r="B124" s="926"/>
      <c r="C124" s="889"/>
      <c r="D124" s="889"/>
      <c r="E124" s="461" t="s">
        <v>253</v>
      </c>
      <c r="F124" s="461" t="s">
        <v>117</v>
      </c>
      <c r="G124" s="311" t="s">
        <v>118</v>
      </c>
      <c r="H124" s="311" t="s">
        <v>35</v>
      </c>
      <c r="I124" s="463" t="s">
        <v>244</v>
      </c>
      <c r="J124" s="463" t="s">
        <v>245</v>
      </c>
      <c r="K124" s="461" t="s">
        <v>117</v>
      </c>
      <c r="L124" s="311" t="s">
        <v>118</v>
      </c>
      <c r="M124" s="311" t="s">
        <v>35</v>
      </c>
      <c r="N124" s="463" t="s">
        <v>244</v>
      </c>
    </row>
    <row r="125" spans="1:14" s="467" customFormat="1" ht="11.25">
      <c r="A125" s="465">
        <v>1</v>
      </c>
      <c r="B125" s="225">
        <f aca="true" t="shared" si="20" ref="B125:N125">A125+1</f>
        <v>2</v>
      </c>
      <c r="C125" s="225">
        <f t="shared" si="20"/>
        <v>3</v>
      </c>
      <c r="D125" s="225">
        <f t="shared" si="20"/>
        <v>4</v>
      </c>
      <c r="E125" s="466">
        <f t="shared" si="20"/>
        <v>5</v>
      </c>
      <c r="F125" s="466">
        <f t="shared" si="20"/>
        <v>6</v>
      </c>
      <c r="G125" s="465">
        <f t="shared" si="20"/>
        <v>7</v>
      </c>
      <c r="H125" s="465">
        <f t="shared" si="20"/>
        <v>8</v>
      </c>
      <c r="I125" s="465">
        <f t="shared" si="20"/>
        <v>9</v>
      </c>
      <c r="J125" s="466">
        <f t="shared" si="20"/>
        <v>10</v>
      </c>
      <c r="K125" s="466">
        <f t="shared" si="20"/>
        <v>11</v>
      </c>
      <c r="L125" s="465">
        <f t="shared" si="20"/>
        <v>12</v>
      </c>
      <c r="M125" s="465">
        <f t="shared" si="20"/>
        <v>13</v>
      </c>
      <c r="N125" s="465">
        <f t="shared" si="20"/>
        <v>14</v>
      </c>
    </row>
    <row r="126" spans="1:14" s="414" customFormat="1" ht="12.75">
      <c r="A126" s="468">
        <v>1</v>
      </c>
      <c r="B126" s="468"/>
      <c r="C126" s="468"/>
      <c r="D126" s="468"/>
      <c r="E126" s="469"/>
      <c r="F126" s="468"/>
      <c r="G126" s="470"/>
      <c r="H126" s="471"/>
      <c r="I126" s="527">
        <f aca="true" t="shared" si="21" ref="I126:I131">ROUND(E126*F126/1000,5)</f>
        <v>0</v>
      </c>
      <c r="J126" s="469"/>
      <c r="K126" s="468"/>
      <c r="L126" s="470">
        <f aca="true" t="shared" si="22" ref="L126:M129">G126</f>
        <v>0</v>
      </c>
      <c r="M126" s="470">
        <f t="shared" si="22"/>
        <v>0</v>
      </c>
      <c r="N126" s="527">
        <f aca="true" t="shared" si="23" ref="N126:N131">ROUND(J126*K126/1000,5)</f>
        <v>0</v>
      </c>
    </row>
    <row r="127" spans="1:14" s="414" customFormat="1" ht="12.75">
      <c r="A127" s="468"/>
      <c r="B127" s="468"/>
      <c r="C127" s="468"/>
      <c r="D127" s="468"/>
      <c r="E127" s="469"/>
      <c r="F127" s="468"/>
      <c r="G127" s="470"/>
      <c r="H127" s="471"/>
      <c r="I127" s="527">
        <f t="shared" si="21"/>
        <v>0</v>
      </c>
      <c r="J127" s="469"/>
      <c r="K127" s="468"/>
      <c r="L127" s="470">
        <f t="shared" si="22"/>
        <v>0</v>
      </c>
      <c r="M127" s="470">
        <f t="shared" si="22"/>
        <v>0</v>
      </c>
      <c r="N127" s="527">
        <f t="shared" si="23"/>
        <v>0</v>
      </c>
    </row>
    <row r="128" spans="1:14" s="473" customFormat="1" ht="12.75">
      <c r="A128" s="234"/>
      <c r="B128" s="468"/>
      <c r="C128" s="468"/>
      <c r="D128" s="468"/>
      <c r="E128" s="469"/>
      <c r="F128" s="468"/>
      <c r="G128" s="287"/>
      <c r="H128" s="471"/>
      <c r="I128" s="527">
        <f t="shared" si="21"/>
        <v>0</v>
      </c>
      <c r="J128" s="469"/>
      <c r="K128" s="468"/>
      <c r="L128" s="470">
        <f t="shared" si="22"/>
        <v>0</v>
      </c>
      <c r="M128" s="470">
        <f t="shared" si="22"/>
        <v>0</v>
      </c>
      <c r="N128" s="527">
        <f t="shared" si="23"/>
        <v>0</v>
      </c>
    </row>
    <row r="129" spans="1:14" s="473" customFormat="1" ht="12.75">
      <c r="A129" s="234"/>
      <c r="B129" s="474"/>
      <c r="C129" s="475"/>
      <c r="D129" s="468"/>
      <c r="E129" s="469"/>
      <c r="F129" s="468"/>
      <c r="G129" s="287"/>
      <c r="H129" s="471"/>
      <c r="I129" s="527">
        <f t="shared" si="21"/>
        <v>0</v>
      </c>
      <c r="J129" s="469"/>
      <c r="K129" s="468"/>
      <c r="L129" s="470">
        <f t="shared" si="22"/>
        <v>0</v>
      </c>
      <c r="M129" s="470">
        <f t="shared" si="22"/>
        <v>0</v>
      </c>
      <c r="N129" s="527">
        <f t="shared" si="23"/>
        <v>0</v>
      </c>
    </row>
    <row r="130" spans="1:14" s="473" customFormat="1" ht="12.75">
      <c r="A130" s="234"/>
      <c r="B130" s="474"/>
      <c r="C130" s="475"/>
      <c r="D130" s="468"/>
      <c r="E130" s="472"/>
      <c r="F130" s="468"/>
      <c r="G130" s="287"/>
      <c r="H130" s="471"/>
      <c r="I130" s="527">
        <f t="shared" si="21"/>
        <v>0</v>
      </c>
      <c r="J130" s="472"/>
      <c r="K130" s="468"/>
      <c r="L130" s="470"/>
      <c r="M130" s="468"/>
      <c r="N130" s="527">
        <f t="shared" si="23"/>
        <v>0</v>
      </c>
    </row>
    <row r="131" spans="1:14" s="473" customFormat="1" ht="12.75">
      <c r="A131" s="234"/>
      <c r="B131" s="474"/>
      <c r="C131" s="475"/>
      <c r="D131" s="468"/>
      <c r="E131" s="472"/>
      <c r="F131" s="468"/>
      <c r="G131" s="287"/>
      <c r="H131" s="471"/>
      <c r="I131" s="527">
        <f t="shared" si="21"/>
        <v>0</v>
      </c>
      <c r="J131" s="472"/>
      <c r="K131" s="468"/>
      <c r="L131" s="470"/>
      <c r="M131" s="468"/>
      <c r="N131" s="527">
        <f t="shared" si="23"/>
        <v>0</v>
      </c>
    </row>
    <row r="132" spans="1:14" s="348" customFormat="1" ht="25.5" customHeight="1">
      <c r="A132" s="476"/>
      <c r="B132" s="923" t="s">
        <v>246</v>
      </c>
      <c r="C132" s="923"/>
      <c r="D132" s="477">
        <f>SUM(D126:D128)</f>
        <v>0</v>
      </c>
      <c r="E132" s="253" t="e">
        <f>ROUND(I132/H132/F132*1000,5)</f>
        <v>#DIV/0!</v>
      </c>
      <c r="F132" s="478"/>
      <c r="G132" s="479">
        <f>SUM(G126:G128)</f>
        <v>0</v>
      </c>
      <c r="H132" s="480">
        <f>SUM(H126:H128)</f>
        <v>0</v>
      </c>
      <c r="I132" s="484">
        <f>SUM(I126:I128)</f>
        <v>0</v>
      </c>
      <c r="J132" s="253" t="e">
        <f>ROUND(N132/M132/K132*1000,5)</f>
        <v>#DIV/0!</v>
      </c>
      <c r="K132" s="478"/>
      <c r="L132" s="479">
        <f>SUM(L126:L128)</f>
        <v>0</v>
      </c>
      <c r="M132" s="480">
        <f>SUM(M126:M128)</f>
        <v>0</v>
      </c>
      <c r="N132" s="484">
        <f>SUM(N126:N128)</f>
        <v>0</v>
      </c>
    </row>
    <row r="133" spans="1:14" s="348" customFormat="1" ht="25.5" customHeight="1">
      <c r="A133" s="476"/>
      <c r="B133" s="482"/>
      <c r="C133" s="483"/>
      <c r="D133" s="477"/>
      <c r="E133" s="253"/>
      <c r="F133" s="478"/>
      <c r="G133" s="479"/>
      <c r="H133" s="480"/>
      <c r="I133" s="484"/>
      <c r="J133" s="253"/>
      <c r="K133" s="478"/>
      <c r="L133" s="479"/>
      <c r="M133" s="480"/>
      <c r="N133" s="484"/>
    </row>
    <row r="136" spans="2:6" s="208" customFormat="1" ht="18.75">
      <c r="B136" s="802" t="s">
        <v>422</v>
      </c>
      <c r="C136" s="803"/>
      <c r="D136" s="803" t="s">
        <v>423</v>
      </c>
      <c r="E136" s="809"/>
      <c r="F136" s="804"/>
    </row>
    <row r="137" spans="2:6" s="208" customFormat="1" ht="18.75">
      <c r="B137" s="802"/>
      <c r="C137" s="802"/>
      <c r="D137" s="802"/>
      <c r="E137" s="802"/>
      <c r="F137" s="804" t="s">
        <v>97</v>
      </c>
    </row>
    <row r="138" spans="2:6" s="208" customFormat="1" ht="18.75">
      <c r="B138" s="802" t="s">
        <v>98</v>
      </c>
      <c r="C138" s="803" t="s">
        <v>424</v>
      </c>
      <c r="D138" s="803"/>
      <c r="E138" s="803"/>
      <c r="F138" s="804"/>
    </row>
    <row r="139" spans="2:6" s="208" customFormat="1" ht="18.75">
      <c r="B139" s="802" t="s">
        <v>421</v>
      </c>
      <c r="C139" s="808" t="s">
        <v>425</v>
      </c>
      <c r="D139" s="807"/>
      <c r="E139" s="807"/>
      <c r="F139" s="804"/>
    </row>
  </sheetData>
  <sheetProtection selectLockedCells="1" selectUnlockedCells="1"/>
  <mergeCells count="66">
    <mergeCell ref="L1:M1"/>
    <mergeCell ref="B2:N2"/>
    <mergeCell ref="B3:N3"/>
    <mergeCell ref="A8:A10"/>
    <mergeCell ref="B8:B10"/>
    <mergeCell ref="C8:C10"/>
    <mergeCell ref="D8:D10"/>
    <mergeCell ref="E8:I8"/>
    <mergeCell ref="J8:N8"/>
    <mergeCell ref="B18:C18"/>
    <mergeCell ref="E24:N24"/>
    <mergeCell ref="A25:A27"/>
    <mergeCell ref="B25:B27"/>
    <mergeCell ref="C25:C27"/>
    <mergeCell ref="D25:D27"/>
    <mergeCell ref="E25:I25"/>
    <mergeCell ref="J25:N25"/>
    <mergeCell ref="D41:D43"/>
    <mergeCell ref="E41:I41"/>
    <mergeCell ref="J41:N41"/>
    <mergeCell ref="B51:C51"/>
    <mergeCell ref="B35:C35"/>
    <mergeCell ref="A41:A43"/>
    <mergeCell ref="B41:B43"/>
    <mergeCell ref="C41:C43"/>
    <mergeCell ref="A74:A76"/>
    <mergeCell ref="B74:B76"/>
    <mergeCell ref="C74:C76"/>
    <mergeCell ref="E57:N57"/>
    <mergeCell ref="A58:A60"/>
    <mergeCell ref="B58:B60"/>
    <mergeCell ref="C58:C60"/>
    <mergeCell ref="D58:D60"/>
    <mergeCell ref="E58:I58"/>
    <mergeCell ref="J58:N58"/>
    <mergeCell ref="D74:D76"/>
    <mergeCell ref="E74:I74"/>
    <mergeCell ref="J74:N74"/>
    <mergeCell ref="B84:C84"/>
    <mergeCell ref="B68:C68"/>
    <mergeCell ref="B70:C70"/>
    <mergeCell ref="E88:N88"/>
    <mergeCell ref="A89:A91"/>
    <mergeCell ref="B89:B91"/>
    <mergeCell ref="C89:C91"/>
    <mergeCell ref="D89:D91"/>
    <mergeCell ref="E89:I89"/>
    <mergeCell ref="J89:N89"/>
    <mergeCell ref="B99:C99"/>
    <mergeCell ref="B101:N101"/>
    <mergeCell ref="B102:C102"/>
    <mergeCell ref="A105:A107"/>
    <mergeCell ref="B105:B107"/>
    <mergeCell ref="C105:C107"/>
    <mergeCell ref="D105:D107"/>
    <mergeCell ref="E105:I105"/>
    <mergeCell ref="J105:N105"/>
    <mergeCell ref="B132:C132"/>
    <mergeCell ref="B115:C115"/>
    <mergeCell ref="E121:N121"/>
    <mergeCell ref="A122:A124"/>
    <mergeCell ref="B122:B124"/>
    <mergeCell ref="C122:C124"/>
    <mergeCell ref="D122:D124"/>
    <mergeCell ref="E122:I122"/>
    <mergeCell ref="J122:N122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48" r:id="rId1"/>
  <rowBreaks count="1" manualBreakCount="1">
    <brk id="1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O144"/>
  <sheetViews>
    <sheetView view="pageBreakPreview" zoomScale="86" zoomScaleNormal="80" zoomScaleSheetLayoutView="86" zoomScalePageLayoutView="0" workbookViewId="0" topLeftCell="E109">
      <selection activeCell="K128" sqref="K128:K129"/>
    </sheetView>
  </sheetViews>
  <sheetFormatPr defaultColWidth="9.00390625" defaultRowHeight="12.75"/>
  <cols>
    <col min="1" max="1" width="4.25390625" style="208" customWidth="1"/>
    <col min="2" max="2" width="27.125" style="208" customWidth="1"/>
    <col min="3" max="3" width="21.00390625" style="208" customWidth="1"/>
    <col min="4" max="4" width="13.375" style="208" customWidth="1"/>
    <col min="5" max="5" width="9.75390625" style="208" customWidth="1"/>
    <col min="6" max="6" width="6.75390625" style="208" customWidth="1"/>
    <col min="7" max="7" width="15.25390625" style="0" customWidth="1"/>
    <col min="8" max="8" width="12.875" style="0" customWidth="1"/>
    <col min="9" max="9" width="18.00390625" style="0" customWidth="1"/>
    <col min="11" max="11" width="9.625" style="0" customWidth="1"/>
    <col min="12" max="12" width="6.00390625" style="0" customWidth="1"/>
    <col min="13" max="13" width="13.875" style="0" customWidth="1"/>
    <col min="14" max="14" width="12.75390625" style="0" customWidth="1"/>
    <col min="15" max="15" width="16.625" style="0" customWidth="1"/>
  </cols>
  <sheetData>
    <row r="1" spans="11:15" ht="12.75">
      <c r="K1" s="953"/>
      <c r="L1" s="953"/>
      <c r="N1" s="414"/>
      <c r="O1" t="s">
        <v>290</v>
      </c>
    </row>
    <row r="2" spans="2:15" s="415" customFormat="1" ht="25.5" customHeight="1">
      <c r="B2" s="959" t="s">
        <v>450</v>
      </c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  <c r="O2" s="959"/>
    </row>
    <row r="3" spans="2:15" s="416" customFormat="1" ht="28.5" customHeight="1">
      <c r="B3" s="960" t="s">
        <v>213</v>
      </c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</row>
    <row r="4" spans="2:15" s="415" customFormat="1" ht="14.25" customHeight="1"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</row>
    <row r="5" spans="1:15" s="208" customFormat="1" ht="15.75" customHeight="1">
      <c r="A5" s="274"/>
      <c r="B5" s="904" t="s">
        <v>136</v>
      </c>
      <c r="C5" s="904"/>
      <c r="D5" s="274"/>
      <c r="E5" s="274"/>
      <c r="F5" s="221"/>
      <c r="G5" s="222"/>
      <c r="H5" s="222"/>
      <c r="I5" s="222"/>
      <c r="J5" s="222"/>
      <c r="K5" s="222"/>
      <c r="L5" s="222"/>
      <c r="M5" s="274"/>
      <c r="N5" s="274"/>
      <c r="O5" s="274"/>
    </row>
    <row r="6" spans="1:15" s="208" customFormat="1" ht="15.75">
      <c r="A6" s="274"/>
      <c r="B6" s="275" t="s">
        <v>132</v>
      </c>
      <c r="C6" s="275"/>
      <c r="D6" s="274"/>
      <c r="E6" s="274"/>
      <c r="F6" s="221"/>
      <c r="G6" s="222"/>
      <c r="H6" s="222"/>
      <c r="I6" s="222"/>
      <c r="J6" s="222"/>
      <c r="K6" s="222"/>
      <c r="L6" s="222"/>
      <c r="M6" s="274"/>
      <c r="N6" s="274"/>
      <c r="O6" s="274"/>
    </row>
    <row r="7" spans="2:14" s="491" customFormat="1" ht="20.25" customHeight="1">
      <c r="B7" s="522" t="s">
        <v>168</v>
      </c>
      <c r="D7" s="523"/>
      <c r="E7" s="523"/>
      <c r="F7" s="523"/>
      <c r="G7" s="523"/>
      <c r="H7" s="523"/>
      <c r="I7" s="523"/>
      <c r="J7" s="523"/>
      <c r="K7" s="523"/>
      <c r="L7" s="523"/>
      <c r="M7" s="524"/>
      <c r="N7" s="524"/>
    </row>
    <row r="8" spans="1:15" s="460" customFormat="1" ht="34.5" customHeight="1">
      <c r="A8" s="889" t="s">
        <v>105</v>
      </c>
      <c r="B8" s="952" t="s">
        <v>291</v>
      </c>
      <c r="C8" s="889" t="s">
        <v>107</v>
      </c>
      <c r="D8" s="898" t="s">
        <v>137</v>
      </c>
      <c r="E8" s="898"/>
      <c r="F8" s="898"/>
      <c r="G8" s="898"/>
      <c r="H8" s="898"/>
      <c r="I8" s="898"/>
      <c r="J8" s="958" t="s">
        <v>446</v>
      </c>
      <c r="K8" s="958"/>
      <c r="L8" s="958"/>
      <c r="M8" s="958"/>
      <c r="N8" s="958"/>
      <c r="O8" s="958"/>
    </row>
    <row r="9" spans="1:15" s="460" customFormat="1" ht="61.5" customHeight="1">
      <c r="A9" s="889"/>
      <c r="B9" s="952"/>
      <c r="C9" s="889"/>
      <c r="D9" s="955" t="s">
        <v>292</v>
      </c>
      <c r="E9" s="955" t="s">
        <v>293</v>
      </c>
      <c r="F9" s="896" t="s">
        <v>140</v>
      </c>
      <c r="G9" s="956" t="s">
        <v>294</v>
      </c>
      <c r="H9" s="897" t="s">
        <v>15</v>
      </c>
      <c r="I9" s="897"/>
      <c r="J9" s="955" t="s">
        <v>292</v>
      </c>
      <c r="K9" s="955" t="s">
        <v>293</v>
      </c>
      <c r="L9" s="896" t="s">
        <v>263</v>
      </c>
      <c r="M9" s="956" t="s">
        <v>295</v>
      </c>
      <c r="N9" s="897" t="s">
        <v>15</v>
      </c>
      <c r="O9" s="897"/>
    </row>
    <row r="10" spans="1:15" s="464" customFormat="1" ht="120.75" customHeight="1">
      <c r="A10" s="889"/>
      <c r="B10" s="952"/>
      <c r="C10" s="889"/>
      <c r="D10" s="955"/>
      <c r="E10" s="955"/>
      <c r="F10" s="896"/>
      <c r="G10" s="956"/>
      <c r="H10" s="545" t="s">
        <v>296</v>
      </c>
      <c r="I10" s="277" t="s">
        <v>297</v>
      </c>
      <c r="J10" s="955"/>
      <c r="K10" s="955"/>
      <c r="L10" s="896"/>
      <c r="M10" s="956"/>
      <c r="N10" s="546" t="s">
        <v>298</v>
      </c>
      <c r="O10" s="547" t="s">
        <v>299</v>
      </c>
    </row>
    <row r="11" spans="1:15" s="549" customFormat="1" ht="10.5">
      <c r="A11" s="548">
        <v>1</v>
      </c>
      <c r="B11" s="351">
        <f aca="true" t="shared" si="0" ref="B11:O11">A11+1</f>
        <v>2</v>
      </c>
      <c r="C11" s="351">
        <f t="shared" si="0"/>
        <v>3</v>
      </c>
      <c r="D11" s="351">
        <f t="shared" si="0"/>
        <v>4</v>
      </c>
      <c r="E11" s="351">
        <f t="shared" si="0"/>
        <v>5</v>
      </c>
      <c r="F11" s="351">
        <f t="shared" si="0"/>
        <v>6</v>
      </c>
      <c r="G11" s="548">
        <f t="shared" si="0"/>
        <v>7</v>
      </c>
      <c r="H11" s="548">
        <f t="shared" si="0"/>
        <v>8</v>
      </c>
      <c r="I11" s="548">
        <f t="shared" si="0"/>
        <v>9</v>
      </c>
      <c r="J11" s="351">
        <f t="shared" si="0"/>
        <v>10</v>
      </c>
      <c r="K11" s="351">
        <f t="shared" si="0"/>
        <v>11</v>
      </c>
      <c r="L11" s="351">
        <f t="shared" si="0"/>
        <v>12</v>
      </c>
      <c r="M11" s="548">
        <f t="shared" si="0"/>
        <v>13</v>
      </c>
      <c r="N11" s="548">
        <f t="shared" si="0"/>
        <v>14</v>
      </c>
      <c r="O11" s="548">
        <f t="shared" si="0"/>
        <v>15</v>
      </c>
    </row>
    <row r="12" spans="1:15" s="414" customFormat="1" ht="12.75">
      <c r="A12" s="468">
        <v>1</v>
      </c>
      <c r="B12" s="468" t="str">
        <f>'норм водоотв  ЦО (5-1)'!B12</f>
        <v>п.Рассвет</v>
      </c>
      <c r="C12" s="468" t="str">
        <f>'норм водоотв  ЦО (5-1)'!C12</f>
        <v>ООО «АЛЬЯНС»</v>
      </c>
      <c r="D12" s="470">
        <v>69.55</v>
      </c>
      <c r="E12" s="470">
        <v>69.55</v>
      </c>
      <c r="F12" s="550">
        <f aca="true" t="shared" si="1" ref="F12:F19">ROUND(E12/D12*100,1)</f>
        <v>100</v>
      </c>
      <c r="G12" s="527">
        <f>'норм водоотв  ЦО (5-1)'!I12</f>
        <v>1.5666</v>
      </c>
      <c r="H12" s="287">
        <f>ROUND(D12*G12,3)</f>
        <v>108.957</v>
      </c>
      <c r="I12" s="287">
        <f>ROUND(E12*G12,3)</f>
        <v>108.957</v>
      </c>
      <c r="J12" s="470">
        <v>69.55</v>
      </c>
      <c r="K12" s="470">
        <v>69.55</v>
      </c>
      <c r="L12" s="551">
        <f aca="true" t="shared" si="2" ref="L12:L19">ROUND(K12/J12*100,1)</f>
        <v>100</v>
      </c>
      <c r="M12" s="527">
        <f>'норм водоотв  ЦО (5-1)'!N12</f>
        <v>1.5666</v>
      </c>
      <c r="N12" s="287">
        <f>ROUND(J12*M12,3)</f>
        <v>108.957</v>
      </c>
      <c r="O12" s="287">
        <f>ROUND(K12*M12,3)</f>
        <v>108.957</v>
      </c>
    </row>
    <row r="13" spans="1:15" s="414" customFormat="1" ht="12.75">
      <c r="A13" s="468">
        <v>2</v>
      </c>
      <c r="B13" s="468">
        <f>'норм водоотв  ЦО (5-1)'!B13</f>
        <v>0</v>
      </c>
      <c r="C13" s="468">
        <f>'норм водоотв  ЦО (5-1)'!C13</f>
        <v>0</v>
      </c>
      <c r="D13" s="470">
        <v>69.55</v>
      </c>
      <c r="E13" s="470">
        <v>69.55</v>
      </c>
      <c r="F13" s="550">
        <f t="shared" si="1"/>
        <v>100</v>
      </c>
      <c r="G13" s="527">
        <f>'норм водоотв  ЦО (5-1)'!I13</f>
        <v>6.9094</v>
      </c>
      <c r="H13" s="287">
        <f>ROUND(D13*G13,3)</f>
        <v>480.549</v>
      </c>
      <c r="I13" s="287">
        <f>ROUND(E13*G13,3)</f>
        <v>480.549</v>
      </c>
      <c r="J13" s="470">
        <v>69.55</v>
      </c>
      <c r="K13" s="470">
        <v>69.55</v>
      </c>
      <c r="L13" s="551">
        <f t="shared" si="2"/>
        <v>100</v>
      </c>
      <c r="M13" s="527">
        <f>'норм водоотв  ЦО (5-1)'!N13</f>
        <v>6.9094</v>
      </c>
      <c r="N13" s="287">
        <f>ROUND(J13*M13,3)</f>
        <v>480.549</v>
      </c>
      <c r="O13" s="287">
        <f>ROUND(K13*M13,3)</f>
        <v>480.549</v>
      </c>
    </row>
    <row r="14" spans="1:15" s="473" customFormat="1" ht="12.75">
      <c r="A14" s="234"/>
      <c r="B14" s="468">
        <f>'норм водоотв  ЦО (5-1)'!B14</f>
        <v>0</v>
      </c>
      <c r="C14" s="468">
        <f>'норм водоотв  ЦО (5-1)'!C14</f>
        <v>0</v>
      </c>
      <c r="D14" s="552"/>
      <c r="E14" s="470"/>
      <c r="F14" s="550" t="e">
        <f t="shared" si="1"/>
        <v>#DIV/0!</v>
      </c>
      <c r="G14" s="527">
        <f>'норм водоотв  ЦО (5-1)'!I14</f>
        <v>0</v>
      </c>
      <c r="H14" s="287">
        <f>ROUND(D14*G14,3)</f>
        <v>0</v>
      </c>
      <c r="I14" s="287">
        <f>ROUND(E14*G14,3)</f>
        <v>0</v>
      </c>
      <c r="J14" s="552"/>
      <c r="K14" s="470"/>
      <c r="L14" s="551" t="e">
        <f t="shared" si="2"/>
        <v>#DIV/0!</v>
      </c>
      <c r="M14" s="527">
        <f>'норм водоотв  ЦО (5-1)'!N14</f>
        <v>0</v>
      </c>
      <c r="N14" s="287">
        <f>ROUND(J14*M14,3)</f>
        <v>0</v>
      </c>
      <c r="O14" s="287">
        <f>ROUND(K14*M14,3)</f>
        <v>0</v>
      </c>
    </row>
    <row r="15" spans="1:15" s="473" customFormat="1" ht="12.75">
      <c r="A15" s="234"/>
      <c r="B15" s="468">
        <f>'норм водоотв  ЦО (5-1)'!B15</f>
        <v>0</v>
      </c>
      <c r="C15" s="468">
        <f>'норм водоотв  ЦО (5-1)'!C15</f>
        <v>0</v>
      </c>
      <c r="D15" s="553"/>
      <c r="E15" s="470"/>
      <c r="F15" s="550" t="e">
        <f t="shared" si="1"/>
        <v>#DIV/0!</v>
      </c>
      <c r="G15" s="527">
        <f>'норм водоотв  ЦО (5-1)'!I15</f>
        <v>0</v>
      </c>
      <c r="H15" s="287">
        <f>ROUND(D15*G15,3)</f>
        <v>0</v>
      </c>
      <c r="I15" s="287">
        <f>ROUND(E15*G15,3)</f>
        <v>0</v>
      </c>
      <c r="J15" s="553"/>
      <c r="K15" s="470"/>
      <c r="L15" s="551" t="e">
        <f t="shared" si="2"/>
        <v>#DIV/0!</v>
      </c>
      <c r="M15" s="527">
        <f>'норм водоотв  ЦО (5-1)'!N15</f>
        <v>0</v>
      </c>
      <c r="N15" s="287">
        <f>ROUND(J15*M15,3)</f>
        <v>0</v>
      </c>
      <c r="O15" s="287">
        <f>ROUND(K15*M15,3)</f>
        <v>0</v>
      </c>
    </row>
    <row r="16" spans="1:15" s="473" customFormat="1" ht="12.75">
      <c r="A16" s="554"/>
      <c r="B16" s="468">
        <f>'норм водоотв  ЦО (5-1)'!B16</f>
        <v>0</v>
      </c>
      <c r="C16" s="468">
        <f>'норм водоотв  ЦО (5-1)'!C16</f>
        <v>0</v>
      </c>
      <c r="D16" s="552"/>
      <c r="E16" s="470"/>
      <c r="F16" s="550" t="e">
        <f t="shared" si="1"/>
        <v>#DIV/0!</v>
      </c>
      <c r="G16" s="527">
        <f>'норм водоотв  ЦО (5-1)'!I16</f>
        <v>0</v>
      </c>
      <c r="H16" s="287">
        <f>ROUND(D16*G16,3)</f>
        <v>0</v>
      </c>
      <c r="I16" s="287">
        <f>ROUND(E16*G16,3)</f>
        <v>0</v>
      </c>
      <c r="J16" s="552"/>
      <c r="K16" s="470"/>
      <c r="L16" s="551" t="e">
        <f t="shared" si="2"/>
        <v>#DIV/0!</v>
      </c>
      <c r="M16" s="527">
        <f>'норм водоотв  ЦО (5-1)'!N16</f>
        <v>0</v>
      </c>
      <c r="N16" s="287">
        <f>ROUND(J16*M16,3)</f>
        <v>0</v>
      </c>
      <c r="O16" s="287">
        <f>ROUND(K16*M16,3)</f>
        <v>0</v>
      </c>
    </row>
    <row r="17" spans="1:15" s="473" customFormat="1" ht="12.75">
      <c r="A17" s="234"/>
      <c r="B17" s="468">
        <f>'норм водоотв  ЦО (5-1)'!B17</f>
        <v>0</v>
      </c>
      <c r="C17" s="468">
        <f>'норм водоотв  ЦО (5-1)'!C17</f>
        <v>0</v>
      </c>
      <c r="D17" s="284"/>
      <c r="E17" s="470"/>
      <c r="F17" s="550" t="e">
        <f t="shared" si="1"/>
        <v>#DIV/0!</v>
      </c>
      <c r="G17" s="527"/>
      <c r="H17" s="287"/>
      <c r="I17" s="287"/>
      <c r="J17" s="284"/>
      <c r="K17" s="470"/>
      <c r="L17" s="551" t="e">
        <f t="shared" si="2"/>
        <v>#DIV/0!</v>
      </c>
      <c r="M17" s="527"/>
      <c r="N17" s="287"/>
      <c r="O17" s="287"/>
    </row>
    <row r="18" spans="1:15" s="473" customFormat="1" ht="12.75">
      <c r="A18" s="234"/>
      <c r="B18" s="468"/>
      <c r="C18" s="468"/>
      <c r="D18" s="552"/>
      <c r="E18" s="470"/>
      <c r="F18" s="550" t="e">
        <f t="shared" si="1"/>
        <v>#DIV/0!</v>
      </c>
      <c r="G18" s="527"/>
      <c r="H18" s="287"/>
      <c r="I18" s="287"/>
      <c r="J18" s="552"/>
      <c r="K18" s="470"/>
      <c r="L18" s="551" t="e">
        <f t="shared" si="2"/>
        <v>#DIV/0!</v>
      </c>
      <c r="M18" s="527"/>
      <c r="N18" s="287"/>
      <c r="O18" s="287"/>
    </row>
    <row r="19" spans="1:15" s="348" customFormat="1" ht="30" customHeight="1">
      <c r="A19" s="476"/>
      <c r="B19" s="950" t="s">
        <v>86</v>
      </c>
      <c r="C19" s="950"/>
      <c r="D19" s="555">
        <f>ROUND(H19/G19,6)</f>
        <v>69.550024</v>
      </c>
      <c r="E19" s="555">
        <f>ROUND(I19/G19,6)</f>
        <v>69.550024</v>
      </c>
      <c r="F19" s="285">
        <f t="shared" si="1"/>
        <v>100</v>
      </c>
      <c r="G19" s="556">
        <f>SUM(G12:G18)</f>
        <v>8.475999999999999</v>
      </c>
      <c r="H19" s="556">
        <f>SUM(H12:H18)</f>
        <v>589.506</v>
      </c>
      <c r="I19" s="556">
        <f>SUM(I12:I18)</f>
        <v>589.506</v>
      </c>
      <c r="J19" s="557">
        <f>ROUND(N19/M19,6)</f>
        <v>69.550024</v>
      </c>
      <c r="K19" s="557">
        <f>ROUND(O19/M19,6)</f>
        <v>69.550024</v>
      </c>
      <c r="L19" s="285">
        <f t="shared" si="2"/>
        <v>100</v>
      </c>
      <c r="M19" s="556">
        <f>SUM(M12:M18)</f>
        <v>8.475999999999999</v>
      </c>
      <c r="N19" s="556">
        <f>SUM(N12:N18)</f>
        <v>589.506</v>
      </c>
      <c r="O19" s="556">
        <f>SUM(O12:O18)</f>
        <v>589.506</v>
      </c>
    </row>
    <row r="20" spans="1:11" s="460" customFormat="1" ht="25.5">
      <c r="A20" s="489"/>
      <c r="B20" s="206"/>
      <c r="C20" s="558" t="s">
        <v>300</v>
      </c>
      <c r="D20" s="559" t="s">
        <v>301</v>
      </c>
      <c r="E20" s="559" t="s">
        <v>302</v>
      </c>
      <c r="F20" s="560"/>
      <c r="J20" s="559" t="s">
        <v>303</v>
      </c>
      <c r="K20" s="559" t="s">
        <v>304</v>
      </c>
    </row>
    <row r="21" spans="1:11" s="460" customFormat="1" ht="15.75">
      <c r="A21" s="489"/>
      <c r="B21" s="206"/>
      <c r="C21" s="558"/>
      <c r="D21" s="561"/>
      <c r="E21" s="561"/>
      <c r="F21" s="560"/>
      <c r="J21" s="561"/>
      <c r="K21" s="561"/>
    </row>
    <row r="22" s="289" customFormat="1" ht="12.75"/>
    <row r="23" spans="2:9" s="494" customFormat="1" ht="15">
      <c r="B23" s="562" t="s">
        <v>247</v>
      </c>
      <c r="D23" s="454"/>
      <c r="E23" s="454"/>
      <c r="F23" s="454"/>
      <c r="G23" s="454"/>
      <c r="H23" s="454"/>
      <c r="I23" s="454"/>
    </row>
    <row r="24" s="289" customFormat="1" ht="12.75"/>
    <row r="25" spans="1:15" s="460" customFormat="1" ht="34.5" customHeight="1">
      <c r="A25" s="889" t="s">
        <v>105</v>
      </c>
      <c r="B25" s="952" t="s">
        <v>291</v>
      </c>
      <c r="C25" s="889" t="s">
        <v>107</v>
      </c>
      <c r="D25" s="898" t="s">
        <v>137</v>
      </c>
      <c r="E25" s="898"/>
      <c r="F25" s="898"/>
      <c r="G25" s="898"/>
      <c r="H25" s="898"/>
      <c r="I25" s="898"/>
      <c r="J25" s="958" t="s">
        <v>446</v>
      </c>
      <c r="K25" s="958"/>
      <c r="L25" s="958"/>
      <c r="M25" s="958"/>
      <c r="N25" s="958"/>
      <c r="O25" s="958"/>
    </row>
    <row r="26" spans="1:15" s="460" customFormat="1" ht="61.5" customHeight="1">
      <c r="A26" s="889"/>
      <c r="B26" s="952"/>
      <c r="C26" s="889"/>
      <c r="D26" s="955" t="s">
        <v>292</v>
      </c>
      <c r="E26" s="955" t="s">
        <v>293</v>
      </c>
      <c r="F26" s="896" t="s">
        <v>140</v>
      </c>
      <c r="G26" s="956" t="s">
        <v>305</v>
      </c>
      <c r="H26" s="897" t="s">
        <v>15</v>
      </c>
      <c r="I26" s="897"/>
      <c r="J26" s="955" t="s">
        <v>292</v>
      </c>
      <c r="K26" s="955" t="s">
        <v>293</v>
      </c>
      <c r="L26" s="896" t="s">
        <v>263</v>
      </c>
      <c r="M26" s="956" t="s">
        <v>306</v>
      </c>
      <c r="N26" s="897" t="s">
        <v>15</v>
      </c>
      <c r="O26" s="897"/>
    </row>
    <row r="27" spans="1:15" s="464" customFormat="1" ht="120.75" customHeight="1">
      <c r="A27" s="889"/>
      <c r="B27" s="952"/>
      <c r="C27" s="889"/>
      <c r="D27" s="955"/>
      <c r="E27" s="955"/>
      <c r="F27" s="896"/>
      <c r="G27" s="956"/>
      <c r="H27" s="546" t="s">
        <v>296</v>
      </c>
      <c r="I27" s="277" t="s">
        <v>307</v>
      </c>
      <c r="J27" s="955"/>
      <c r="K27" s="955"/>
      <c r="L27" s="896"/>
      <c r="M27" s="956"/>
      <c r="N27" s="546" t="s">
        <v>298</v>
      </c>
      <c r="O27" s="547" t="s">
        <v>299</v>
      </c>
    </row>
    <row r="28" spans="1:15" s="549" customFormat="1" ht="10.5">
      <c r="A28" s="548">
        <v>1</v>
      </c>
      <c r="B28" s="351">
        <f aca="true" t="shared" si="3" ref="B28:O28">A28+1</f>
        <v>2</v>
      </c>
      <c r="C28" s="351">
        <f t="shared" si="3"/>
        <v>3</v>
      </c>
      <c r="D28" s="351">
        <f t="shared" si="3"/>
        <v>4</v>
      </c>
      <c r="E28" s="351">
        <f t="shared" si="3"/>
        <v>5</v>
      </c>
      <c r="F28" s="351">
        <f t="shared" si="3"/>
        <v>6</v>
      </c>
      <c r="G28" s="548">
        <f t="shared" si="3"/>
        <v>7</v>
      </c>
      <c r="H28" s="548">
        <f t="shared" si="3"/>
        <v>8</v>
      </c>
      <c r="I28" s="548">
        <f t="shared" si="3"/>
        <v>9</v>
      </c>
      <c r="J28" s="351">
        <f t="shared" si="3"/>
        <v>10</v>
      </c>
      <c r="K28" s="351">
        <f t="shared" si="3"/>
        <v>11</v>
      </c>
      <c r="L28" s="351">
        <f t="shared" si="3"/>
        <v>12</v>
      </c>
      <c r="M28" s="548">
        <f t="shared" si="3"/>
        <v>13</v>
      </c>
      <c r="N28" s="548">
        <f t="shared" si="3"/>
        <v>14</v>
      </c>
      <c r="O28" s="548">
        <f t="shared" si="3"/>
        <v>15</v>
      </c>
    </row>
    <row r="29" spans="1:15" s="414" customFormat="1" ht="12.75">
      <c r="A29" s="468">
        <v>1</v>
      </c>
      <c r="B29" s="468"/>
      <c r="C29" s="468"/>
      <c r="D29" s="470"/>
      <c r="E29" s="470"/>
      <c r="F29" s="550" t="e">
        <f aca="true" t="shared" si="4" ref="F29:F36">ROUND(E29/D29*100,1)</f>
        <v>#DIV/0!</v>
      </c>
      <c r="G29" s="563">
        <f>'норм водоотв  ЦО (5-1)'!I29</f>
        <v>0</v>
      </c>
      <c r="H29" s="564">
        <f>ROUND(D29*G29,3)</f>
        <v>0</v>
      </c>
      <c r="I29" s="564">
        <f>ROUND(E29*G29,3)</f>
        <v>0</v>
      </c>
      <c r="J29" s="565"/>
      <c r="K29" s="565"/>
      <c r="L29" s="566" t="e">
        <f aca="true" t="shared" si="5" ref="L29:L36">ROUND(K29/J29*100,1)</f>
        <v>#DIV/0!</v>
      </c>
      <c r="M29" s="563">
        <f>'норм водоотв  ЦО (5-1)'!N29</f>
        <v>0</v>
      </c>
      <c r="N29" s="564">
        <f>ROUND(J29*M29,3)</f>
        <v>0</v>
      </c>
      <c r="O29" s="564">
        <f>ROUND(K29*M29,3)</f>
        <v>0</v>
      </c>
    </row>
    <row r="30" spans="1:15" s="414" customFormat="1" ht="14.25" customHeight="1">
      <c r="A30" s="468"/>
      <c r="B30" s="468"/>
      <c r="C30" s="468"/>
      <c r="D30" s="470"/>
      <c r="E30" s="470"/>
      <c r="F30" s="550" t="e">
        <f t="shared" si="4"/>
        <v>#DIV/0!</v>
      </c>
      <c r="G30" s="563">
        <f>'норм водоотв  ЦО (5-1)'!I30</f>
        <v>0</v>
      </c>
      <c r="H30" s="564">
        <f>ROUND(D30*G30,3)</f>
        <v>0</v>
      </c>
      <c r="I30" s="564">
        <f>ROUND(E30*G30,3)</f>
        <v>0</v>
      </c>
      <c r="J30" s="565"/>
      <c r="K30" s="565"/>
      <c r="L30" s="566" t="e">
        <f t="shared" si="5"/>
        <v>#DIV/0!</v>
      </c>
      <c r="M30" s="563">
        <f>'норм водоотв  ЦО (5-1)'!N30</f>
        <v>0</v>
      </c>
      <c r="N30" s="564">
        <f>ROUND(J30*M30,3)</f>
        <v>0</v>
      </c>
      <c r="O30" s="564">
        <f>ROUND(K30*M30,3)</f>
        <v>0</v>
      </c>
    </row>
    <row r="31" spans="1:15" s="473" customFormat="1" ht="12.75">
      <c r="A31" s="234"/>
      <c r="B31" s="468"/>
      <c r="C31" s="468"/>
      <c r="D31" s="552"/>
      <c r="E31" s="470"/>
      <c r="F31" s="550" t="e">
        <f t="shared" si="4"/>
        <v>#DIV/0!</v>
      </c>
      <c r="G31" s="563">
        <f>'норм водоотв  ЦО (5-1)'!I31</f>
        <v>0</v>
      </c>
      <c r="H31" s="564">
        <f>ROUND(D31*G31,3)</f>
        <v>0</v>
      </c>
      <c r="I31" s="564">
        <f>ROUND(E31*G31,3)</f>
        <v>0</v>
      </c>
      <c r="J31" s="567"/>
      <c r="K31" s="565"/>
      <c r="L31" s="566" t="e">
        <f t="shared" si="5"/>
        <v>#DIV/0!</v>
      </c>
      <c r="M31" s="563">
        <f>'норм водоотв  ЦО (5-1)'!N31</f>
        <v>0</v>
      </c>
      <c r="N31" s="564">
        <f>ROUND(J31*M31,3)</f>
        <v>0</v>
      </c>
      <c r="O31" s="564">
        <f>ROUND(K31*M31,3)</f>
        <v>0</v>
      </c>
    </row>
    <row r="32" spans="1:15" s="473" customFormat="1" ht="12.75">
      <c r="A32" s="234"/>
      <c r="B32" s="468"/>
      <c r="C32" s="468"/>
      <c r="D32" s="553"/>
      <c r="E32" s="470"/>
      <c r="F32" s="550" t="e">
        <f t="shared" si="4"/>
        <v>#DIV/0!</v>
      </c>
      <c r="G32" s="563">
        <f>'норм водоотв  ЦО (5-1)'!I32</f>
        <v>0</v>
      </c>
      <c r="H32" s="564">
        <f>ROUND(D32*G32,3)</f>
        <v>0</v>
      </c>
      <c r="I32" s="564">
        <f>ROUND(E32*G32,3)</f>
        <v>0</v>
      </c>
      <c r="J32" s="568"/>
      <c r="K32" s="565"/>
      <c r="L32" s="566" t="e">
        <f t="shared" si="5"/>
        <v>#DIV/0!</v>
      </c>
      <c r="M32" s="563">
        <f>'норм водоотв  ЦО (5-1)'!N32</f>
        <v>0</v>
      </c>
      <c r="N32" s="564">
        <f>ROUND(J32*M32,3)</f>
        <v>0</v>
      </c>
      <c r="O32" s="564">
        <f>ROUND(K32*M32,3)</f>
        <v>0</v>
      </c>
    </row>
    <row r="33" spans="1:15" s="473" customFormat="1" ht="12.75">
      <c r="A33" s="554"/>
      <c r="B33" s="468"/>
      <c r="C33" s="468"/>
      <c r="D33" s="552"/>
      <c r="E33" s="470"/>
      <c r="F33" s="550" t="e">
        <f t="shared" si="4"/>
        <v>#DIV/0!</v>
      </c>
      <c r="G33" s="563">
        <f>'норм водоотв  ЦО (5-1)'!I33</f>
        <v>0</v>
      </c>
      <c r="H33" s="564">
        <f>ROUND(D33*G33,3)</f>
        <v>0</v>
      </c>
      <c r="I33" s="564">
        <f>ROUND(E33*G33,3)</f>
        <v>0</v>
      </c>
      <c r="J33" s="567"/>
      <c r="K33" s="565"/>
      <c r="L33" s="566" t="e">
        <f t="shared" si="5"/>
        <v>#DIV/0!</v>
      </c>
      <c r="M33" s="563">
        <f>'норм водоотв  ЦО (5-1)'!N33</f>
        <v>0</v>
      </c>
      <c r="N33" s="564">
        <f>ROUND(J33*M33,3)</f>
        <v>0</v>
      </c>
      <c r="O33" s="564">
        <f>ROUND(K33*M33,3)</f>
        <v>0</v>
      </c>
    </row>
    <row r="34" spans="1:15" s="473" customFormat="1" ht="12.75">
      <c r="A34" s="234"/>
      <c r="B34" s="468"/>
      <c r="C34" s="468"/>
      <c r="D34" s="284"/>
      <c r="E34" s="470"/>
      <c r="F34" s="550" t="e">
        <f t="shared" si="4"/>
        <v>#DIV/0!</v>
      </c>
      <c r="G34" s="563">
        <f>'норм водоотв  ЦО (5-1)'!I34</f>
        <v>0</v>
      </c>
      <c r="H34" s="564"/>
      <c r="I34" s="564"/>
      <c r="J34" s="569"/>
      <c r="K34" s="565"/>
      <c r="L34" s="566" t="e">
        <f t="shared" si="5"/>
        <v>#DIV/0!</v>
      </c>
      <c r="M34" s="563">
        <f>'норм водоотв  ЦО (5-1)'!N34</f>
        <v>0</v>
      </c>
      <c r="N34" s="564"/>
      <c r="O34" s="564"/>
    </row>
    <row r="35" spans="1:15" s="473" customFormat="1" ht="12.75">
      <c r="A35" s="234"/>
      <c r="B35" s="468"/>
      <c r="C35" s="468"/>
      <c r="D35" s="552"/>
      <c r="E35" s="470"/>
      <c r="F35" s="550" t="e">
        <f t="shared" si="4"/>
        <v>#DIV/0!</v>
      </c>
      <c r="G35" s="527"/>
      <c r="H35" s="287"/>
      <c r="I35" s="287"/>
      <c r="J35" s="552"/>
      <c r="K35" s="470"/>
      <c r="L35" s="551" t="e">
        <f t="shared" si="5"/>
        <v>#DIV/0!</v>
      </c>
      <c r="M35" s="527"/>
      <c r="N35" s="287"/>
      <c r="O35" s="287"/>
    </row>
    <row r="36" spans="1:15" s="348" customFormat="1" ht="30" customHeight="1">
      <c r="A36" s="476"/>
      <c r="B36" s="950" t="s">
        <v>86</v>
      </c>
      <c r="C36" s="950"/>
      <c r="D36" s="570" t="e">
        <f>ROUND(H36/G36,6)</f>
        <v>#DIV/0!</v>
      </c>
      <c r="E36" s="570" t="e">
        <f>ROUND(I36/G36,6)</f>
        <v>#DIV/0!</v>
      </c>
      <c r="F36" s="285" t="e">
        <f t="shared" si="4"/>
        <v>#DIV/0!</v>
      </c>
      <c r="G36" s="556">
        <f>SUM(G29:G35)</f>
        <v>0</v>
      </c>
      <c r="H36" s="556">
        <f>SUM(H29:H35)</f>
        <v>0</v>
      </c>
      <c r="I36" s="556">
        <f>SUM(I29:I35)</f>
        <v>0</v>
      </c>
      <c r="J36" s="557" t="e">
        <f>ROUND(N36/M36,6)</f>
        <v>#DIV/0!</v>
      </c>
      <c r="K36" s="557" t="e">
        <f>ROUND(O36/M36,6)</f>
        <v>#DIV/0!</v>
      </c>
      <c r="L36" s="285" t="e">
        <f t="shared" si="5"/>
        <v>#DIV/0!</v>
      </c>
      <c r="M36" s="556">
        <f>SUM(M29:M35)</f>
        <v>0</v>
      </c>
      <c r="N36" s="556">
        <f>SUM(N29:N35)</f>
        <v>0</v>
      </c>
      <c r="O36" s="556">
        <f>SUM(O29:O35)</f>
        <v>0</v>
      </c>
    </row>
    <row r="37" spans="1:11" s="460" customFormat="1" ht="25.5">
      <c r="A37" s="489"/>
      <c r="B37" s="206"/>
      <c r="C37" s="558" t="s">
        <v>300</v>
      </c>
      <c r="D37" s="559" t="s">
        <v>301</v>
      </c>
      <c r="E37" s="559" t="s">
        <v>302</v>
      </c>
      <c r="F37" s="560"/>
      <c r="J37" s="559" t="s">
        <v>303</v>
      </c>
      <c r="K37" s="559" t="s">
        <v>304</v>
      </c>
    </row>
    <row r="39" spans="1:15" s="208" customFormat="1" ht="15.75" customHeight="1">
      <c r="A39" s="274"/>
      <c r="B39" s="904" t="s">
        <v>136</v>
      </c>
      <c r="C39" s="904"/>
      <c r="D39" s="274"/>
      <c r="E39" s="274"/>
      <c r="F39" s="221"/>
      <c r="G39" s="222"/>
      <c r="H39" s="222"/>
      <c r="I39" s="222"/>
      <c r="J39" s="222"/>
      <c r="K39" s="222"/>
      <c r="L39" s="222"/>
      <c r="M39" s="274"/>
      <c r="N39" s="274"/>
      <c r="O39" s="274"/>
    </row>
    <row r="40" spans="1:15" s="208" customFormat="1" ht="15.75">
      <c r="A40" s="274"/>
      <c r="B40" s="275" t="s">
        <v>128</v>
      </c>
      <c r="C40" s="275"/>
      <c r="D40" s="274"/>
      <c r="E40" s="274"/>
      <c r="F40" s="221"/>
      <c r="G40" s="222"/>
      <c r="H40" s="222"/>
      <c r="I40" s="222"/>
      <c r="J40" s="222"/>
      <c r="K40" s="222"/>
      <c r="L40" s="222"/>
      <c r="M40" s="274"/>
      <c r="N40" s="274"/>
      <c r="O40" s="274"/>
    </row>
    <row r="41" spans="2:14" s="491" customFormat="1" ht="20.25" customHeight="1">
      <c r="B41" s="522" t="s">
        <v>168</v>
      </c>
      <c r="D41" s="523"/>
      <c r="E41" s="523"/>
      <c r="F41" s="523"/>
      <c r="G41" s="523"/>
      <c r="H41" s="523"/>
      <c r="I41" s="523"/>
      <c r="J41" s="523"/>
      <c r="K41" s="523"/>
      <c r="L41" s="523"/>
      <c r="M41" s="524"/>
      <c r="N41" s="524"/>
    </row>
    <row r="42" spans="1:15" s="460" customFormat="1" ht="34.5" customHeight="1">
      <c r="A42" s="889" t="s">
        <v>105</v>
      </c>
      <c r="B42" s="952" t="s">
        <v>291</v>
      </c>
      <c r="C42" s="889" t="s">
        <v>107</v>
      </c>
      <c r="D42" s="898" t="s">
        <v>129</v>
      </c>
      <c r="E42" s="898"/>
      <c r="F42" s="898"/>
      <c r="G42" s="898"/>
      <c r="H42" s="898"/>
      <c r="I42" s="898"/>
      <c r="J42" s="958" t="s">
        <v>447</v>
      </c>
      <c r="K42" s="958"/>
      <c r="L42" s="958"/>
      <c r="M42" s="958"/>
      <c r="N42" s="958"/>
      <c r="O42" s="958"/>
    </row>
    <row r="43" spans="1:15" s="460" customFormat="1" ht="61.5" customHeight="1">
      <c r="A43" s="889"/>
      <c r="B43" s="952"/>
      <c r="C43" s="889"/>
      <c r="D43" s="955" t="s">
        <v>292</v>
      </c>
      <c r="E43" s="955" t="s">
        <v>293</v>
      </c>
      <c r="F43" s="896" t="s">
        <v>140</v>
      </c>
      <c r="G43" s="956" t="s">
        <v>294</v>
      </c>
      <c r="H43" s="897" t="s">
        <v>15</v>
      </c>
      <c r="I43" s="897"/>
      <c r="J43" s="955" t="s">
        <v>292</v>
      </c>
      <c r="K43" s="955" t="s">
        <v>293</v>
      </c>
      <c r="L43" s="896" t="s">
        <v>263</v>
      </c>
      <c r="M43" s="956" t="s">
        <v>295</v>
      </c>
      <c r="N43" s="897" t="s">
        <v>15</v>
      </c>
      <c r="O43" s="897"/>
    </row>
    <row r="44" spans="1:15" s="464" customFormat="1" ht="120.75" customHeight="1">
      <c r="A44" s="889"/>
      <c r="B44" s="952"/>
      <c r="C44" s="889"/>
      <c r="D44" s="955"/>
      <c r="E44" s="955"/>
      <c r="F44" s="896"/>
      <c r="G44" s="956"/>
      <c r="H44" s="545" t="s">
        <v>296</v>
      </c>
      <c r="I44" s="277" t="s">
        <v>297</v>
      </c>
      <c r="J44" s="955"/>
      <c r="K44" s="955"/>
      <c r="L44" s="896"/>
      <c r="M44" s="956"/>
      <c r="N44" s="546" t="s">
        <v>298</v>
      </c>
      <c r="O44" s="547" t="s">
        <v>299</v>
      </c>
    </row>
    <row r="45" spans="1:15" s="549" customFormat="1" ht="10.5">
      <c r="A45" s="548">
        <v>1</v>
      </c>
      <c r="B45" s="351">
        <f aca="true" t="shared" si="6" ref="B45:O45">A45+1</f>
        <v>2</v>
      </c>
      <c r="C45" s="351">
        <f t="shared" si="6"/>
        <v>3</v>
      </c>
      <c r="D45" s="351">
        <f t="shared" si="6"/>
        <v>4</v>
      </c>
      <c r="E45" s="351">
        <f t="shared" si="6"/>
        <v>5</v>
      </c>
      <c r="F45" s="351">
        <f t="shared" si="6"/>
        <v>6</v>
      </c>
      <c r="G45" s="548">
        <f t="shared" si="6"/>
        <v>7</v>
      </c>
      <c r="H45" s="548">
        <f t="shared" si="6"/>
        <v>8</v>
      </c>
      <c r="I45" s="548">
        <f t="shared" si="6"/>
        <v>9</v>
      </c>
      <c r="J45" s="351">
        <f t="shared" si="6"/>
        <v>10</v>
      </c>
      <c r="K45" s="351">
        <f t="shared" si="6"/>
        <v>11</v>
      </c>
      <c r="L45" s="351">
        <f t="shared" si="6"/>
        <v>12</v>
      </c>
      <c r="M45" s="548">
        <f t="shared" si="6"/>
        <v>13</v>
      </c>
      <c r="N45" s="548">
        <f t="shared" si="6"/>
        <v>14</v>
      </c>
      <c r="O45" s="548">
        <f t="shared" si="6"/>
        <v>15</v>
      </c>
    </row>
    <row r="46" spans="1:15" s="414" customFormat="1" ht="12.75">
      <c r="A46" s="468">
        <v>1</v>
      </c>
      <c r="B46" s="468" t="str">
        <f>'норм водоотв  ЦО (5-1)'!B46</f>
        <v>п.Рассвет</v>
      </c>
      <c r="C46" s="468" t="str">
        <f>'норм водоотв  ЦО (5-1)'!C46</f>
        <v>ООО «АЛЬЯНС»</v>
      </c>
      <c r="D46" s="470">
        <v>69.55</v>
      </c>
      <c r="E46" s="470">
        <v>69.55</v>
      </c>
      <c r="F46" s="550">
        <f aca="true" t="shared" si="7" ref="F46:F53">ROUND(E46/D46*100,1)</f>
        <v>100</v>
      </c>
      <c r="G46" s="527">
        <f>'норм водоотв  ЦО (5-1)'!I45</f>
        <v>0.31332</v>
      </c>
      <c r="H46" s="287">
        <f>ROUND(D46*G46,3)</f>
        <v>21.791</v>
      </c>
      <c r="I46" s="287">
        <f>ROUND(E46*G46,3)</f>
        <v>21.791</v>
      </c>
      <c r="J46" s="470">
        <v>69.55</v>
      </c>
      <c r="K46" s="470">
        <v>69.55</v>
      </c>
      <c r="L46" s="551">
        <f aca="true" t="shared" si="8" ref="L46:L53">ROUND(K46/J46*100,1)</f>
        <v>100</v>
      </c>
      <c r="M46" s="527">
        <f>'норм водоотв  ЦО (5-1)'!N45</f>
        <v>0.31332</v>
      </c>
      <c r="N46" s="287">
        <f>ROUND(J46*M46,3)</f>
        <v>21.791</v>
      </c>
      <c r="O46" s="287">
        <f>ROUND(K46*M46,3)</f>
        <v>21.791</v>
      </c>
    </row>
    <row r="47" spans="1:15" s="414" customFormat="1" ht="12.75">
      <c r="A47" s="468">
        <v>2</v>
      </c>
      <c r="B47" s="468" t="s">
        <v>119</v>
      </c>
      <c r="C47" s="468" t="s">
        <v>286</v>
      </c>
      <c r="D47" s="470">
        <v>69.55</v>
      </c>
      <c r="E47" s="470">
        <v>69.55</v>
      </c>
      <c r="F47" s="550">
        <f t="shared" si="7"/>
        <v>100</v>
      </c>
      <c r="G47" s="527">
        <f>'норм водоотв  ЦО (5-1)'!I46</f>
        <v>2.27688</v>
      </c>
      <c r="H47" s="287">
        <f>ROUND(D47*G47,3)</f>
        <v>158.357</v>
      </c>
      <c r="I47" s="287">
        <f>ROUND(E47*G47,3)</f>
        <v>158.357</v>
      </c>
      <c r="J47" s="470">
        <v>69.55</v>
      </c>
      <c r="K47" s="470">
        <v>69.55</v>
      </c>
      <c r="L47" s="551">
        <f t="shared" si="8"/>
        <v>100</v>
      </c>
      <c r="M47" s="527">
        <f>'норм водоотв  ЦО (5-1)'!N46</f>
        <v>2.27688</v>
      </c>
      <c r="N47" s="287">
        <f>ROUND(J47*M47,3)</f>
        <v>158.357</v>
      </c>
      <c r="O47" s="287">
        <f>ROUND(K47*M47,3)</f>
        <v>158.357</v>
      </c>
    </row>
    <row r="48" spans="1:15" s="473" customFormat="1" ht="12.75">
      <c r="A48" s="234"/>
      <c r="B48" s="468">
        <f>'норм водоотв  ЦО (5-1)'!B48</f>
        <v>0</v>
      </c>
      <c r="C48" s="468">
        <f>'норм водоотв  ЦО (5-1)'!C48</f>
        <v>0</v>
      </c>
      <c r="D48" s="552"/>
      <c r="E48" s="470"/>
      <c r="F48" s="550" t="e">
        <f t="shared" si="7"/>
        <v>#DIV/0!</v>
      </c>
      <c r="G48" s="527">
        <f>'норм водоотв  ЦО (5-1)'!I48</f>
        <v>0</v>
      </c>
      <c r="H48" s="287">
        <f>ROUND(D48*G48,3)</f>
        <v>0</v>
      </c>
      <c r="I48" s="287">
        <f>ROUND(E48*G48,3)</f>
        <v>0</v>
      </c>
      <c r="J48" s="552"/>
      <c r="K48" s="470"/>
      <c r="L48" s="551" t="e">
        <f t="shared" si="8"/>
        <v>#DIV/0!</v>
      </c>
      <c r="M48" s="527">
        <f>'норм водоотв  ЦО (5-1)'!N48</f>
        <v>0</v>
      </c>
      <c r="N48" s="287">
        <f>ROUND(J48*M48,3)</f>
        <v>0</v>
      </c>
      <c r="O48" s="287">
        <f>ROUND(K48*M48,3)</f>
        <v>0</v>
      </c>
    </row>
    <row r="49" spans="1:15" s="473" customFormat="1" ht="12.75">
      <c r="A49" s="234"/>
      <c r="B49" s="468">
        <f>'норм водоотв  ЦО (5-1)'!B49</f>
        <v>0</v>
      </c>
      <c r="C49" s="468">
        <f>'норм водоотв  ЦО (5-1)'!C49</f>
        <v>0</v>
      </c>
      <c r="D49" s="553"/>
      <c r="E49" s="470"/>
      <c r="F49" s="550" t="e">
        <f t="shared" si="7"/>
        <v>#DIV/0!</v>
      </c>
      <c r="G49" s="527">
        <f>'норм водоотв  ЦО (5-1)'!I49</f>
        <v>0</v>
      </c>
      <c r="H49" s="287">
        <f>ROUND(D49*G49,3)</f>
        <v>0</v>
      </c>
      <c r="I49" s="287">
        <f>ROUND(E49*G49,3)</f>
        <v>0</v>
      </c>
      <c r="J49" s="553"/>
      <c r="K49" s="470"/>
      <c r="L49" s="551" t="e">
        <f t="shared" si="8"/>
        <v>#DIV/0!</v>
      </c>
      <c r="M49" s="527">
        <f>'норм водоотв  ЦО (5-1)'!N49</f>
        <v>0</v>
      </c>
      <c r="N49" s="287">
        <f>ROUND(J49*M49,3)</f>
        <v>0</v>
      </c>
      <c r="O49" s="287">
        <f>ROUND(K49*M49,3)</f>
        <v>0</v>
      </c>
    </row>
    <row r="50" spans="1:15" s="473" customFormat="1" ht="12.75">
      <c r="A50" s="554"/>
      <c r="B50" s="468">
        <f>'норм водоотв  ЦО (5-1)'!B50</f>
        <v>0</v>
      </c>
      <c r="C50" s="468">
        <f>'норм водоотв  ЦО (5-1)'!C50</f>
        <v>0</v>
      </c>
      <c r="D50" s="552"/>
      <c r="E50" s="470"/>
      <c r="F50" s="550" t="e">
        <f t="shared" si="7"/>
        <v>#DIV/0!</v>
      </c>
      <c r="G50" s="527">
        <f>'норм водоотв  ЦО (5-1)'!I50</f>
        <v>0</v>
      </c>
      <c r="H50" s="287">
        <f>ROUND(D50*G50,3)</f>
        <v>0</v>
      </c>
      <c r="I50" s="287">
        <f>ROUND(E50*G50,3)</f>
        <v>0</v>
      </c>
      <c r="J50" s="552"/>
      <c r="K50" s="470"/>
      <c r="L50" s="551" t="e">
        <f t="shared" si="8"/>
        <v>#DIV/0!</v>
      </c>
      <c r="M50" s="527">
        <f>'норм водоотв  ЦО (5-1)'!N50</f>
        <v>0</v>
      </c>
      <c r="N50" s="287">
        <f>ROUND(J50*M50,3)</f>
        <v>0</v>
      </c>
      <c r="O50" s="287">
        <f>ROUND(K50*M50,3)</f>
        <v>0</v>
      </c>
    </row>
    <row r="51" spans="1:15" s="473" customFormat="1" ht="12.75">
      <c r="A51" s="234"/>
      <c r="B51" s="468">
        <v>0</v>
      </c>
      <c r="C51" s="468">
        <f>'норм водоотв  ЦО (5-1)'!C51</f>
        <v>0</v>
      </c>
      <c r="D51" s="284"/>
      <c r="E51" s="470"/>
      <c r="F51" s="550" t="e">
        <f t="shared" si="7"/>
        <v>#DIV/0!</v>
      </c>
      <c r="G51" s="527"/>
      <c r="H51" s="287"/>
      <c r="I51" s="287"/>
      <c r="J51" s="284"/>
      <c r="K51" s="470"/>
      <c r="L51" s="551" t="e">
        <f t="shared" si="8"/>
        <v>#DIV/0!</v>
      </c>
      <c r="M51" s="527"/>
      <c r="N51" s="287"/>
      <c r="O51" s="287"/>
    </row>
    <row r="52" spans="1:15" s="473" customFormat="1" ht="12.75">
      <c r="A52" s="234"/>
      <c r="B52" s="468"/>
      <c r="C52" s="468"/>
      <c r="D52" s="552"/>
      <c r="E52" s="470"/>
      <c r="F52" s="550" t="e">
        <f t="shared" si="7"/>
        <v>#DIV/0!</v>
      </c>
      <c r="G52" s="527"/>
      <c r="H52" s="287"/>
      <c r="I52" s="287"/>
      <c r="J52" s="552"/>
      <c r="K52" s="470"/>
      <c r="L52" s="551" t="e">
        <f t="shared" si="8"/>
        <v>#DIV/0!</v>
      </c>
      <c r="M52" s="527"/>
      <c r="N52" s="287"/>
      <c r="O52" s="287"/>
    </row>
    <row r="53" spans="1:15" s="348" customFormat="1" ht="30" customHeight="1">
      <c r="A53" s="476"/>
      <c r="B53" s="950" t="s">
        <v>86</v>
      </c>
      <c r="C53" s="950"/>
      <c r="D53" s="555">
        <f>ROUND(H53/G53,6)</f>
        <v>69.549842</v>
      </c>
      <c r="E53" s="555">
        <f>ROUND(I53/G53,6)</f>
        <v>69.549842</v>
      </c>
      <c r="F53" s="285">
        <f t="shared" si="7"/>
        <v>100</v>
      </c>
      <c r="G53" s="556">
        <f>SUM(G46:G52)</f>
        <v>2.5902</v>
      </c>
      <c r="H53" s="556">
        <f>SUM(H46:H52)</f>
        <v>180.148</v>
      </c>
      <c r="I53" s="556">
        <f>SUM(I46:I52)</f>
        <v>180.148</v>
      </c>
      <c r="J53" s="557">
        <f>ROUND(N53/M53,6)</f>
        <v>69.549842</v>
      </c>
      <c r="K53" s="557">
        <f>ROUND(O53/M53,6)</f>
        <v>69.549842</v>
      </c>
      <c r="L53" s="285">
        <f t="shared" si="8"/>
        <v>100</v>
      </c>
      <c r="M53" s="556">
        <f>SUM(M46:M52)</f>
        <v>2.5902</v>
      </c>
      <c r="N53" s="556">
        <f>SUM(N46:N52)</f>
        <v>180.148</v>
      </c>
      <c r="O53" s="556">
        <f>SUM(O46:O52)</f>
        <v>180.148</v>
      </c>
    </row>
    <row r="54" spans="1:11" s="460" customFormat="1" ht="25.5">
      <c r="A54" s="489"/>
      <c r="B54" s="206"/>
      <c r="C54" s="558" t="s">
        <v>300</v>
      </c>
      <c r="D54" s="559" t="s">
        <v>301</v>
      </c>
      <c r="E54" s="559" t="s">
        <v>302</v>
      </c>
      <c r="F54" s="560"/>
      <c r="J54" s="559" t="s">
        <v>303</v>
      </c>
      <c r="K54" s="559" t="s">
        <v>304</v>
      </c>
    </row>
    <row r="55" spans="1:11" s="460" customFormat="1" ht="15.75">
      <c r="A55" s="489"/>
      <c r="B55" s="206"/>
      <c r="C55" s="558"/>
      <c r="D55" s="561"/>
      <c r="E55" s="561"/>
      <c r="F55" s="560"/>
      <c r="J55" s="561"/>
      <c r="K55" s="561"/>
    </row>
    <row r="56" s="289" customFormat="1" ht="12.75"/>
    <row r="57" spans="2:9" s="494" customFormat="1" ht="15">
      <c r="B57" s="562" t="s">
        <v>247</v>
      </c>
      <c r="D57" s="454"/>
      <c r="E57" s="454"/>
      <c r="F57" s="454"/>
      <c r="G57" s="454"/>
      <c r="H57" s="454"/>
      <c r="I57" s="454"/>
    </row>
    <row r="58" s="289" customFormat="1" ht="12.75"/>
    <row r="59" spans="1:15" s="460" customFormat="1" ht="34.5" customHeight="1">
      <c r="A59" s="889" t="s">
        <v>105</v>
      </c>
      <c r="B59" s="952" t="s">
        <v>291</v>
      </c>
      <c r="C59" s="889" t="s">
        <v>107</v>
      </c>
      <c r="D59" s="898" t="s">
        <v>129</v>
      </c>
      <c r="E59" s="898"/>
      <c r="F59" s="898"/>
      <c r="G59" s="898"/>
      <c r="H59" s="898"/>
      <c r="I59" s="898"/>
      <c r="J59" s="958" t="s">
        <v>447</v>
      </c>
      <c r="K59" s="958"/>
      <c r="L59" s="958"/>
      <c r="M59" s="958"/>
      <c r="N59" s="958"/>
      <c r="O59" s="958"/>
    </row>
    <row r="60" spans="1:15" s="460" customFormat="1" ht="61.5" customHeight="1">
      <c r="A60" s="889"/>
      <c r="B60" s="952"/>
      <c r="C60" s="889"/>
      <c r="D60" s="955" t="s">
        <v>292</v>
      </c>
      <c r="E60" s="955" t="s">
        <v>293</v>
      </c>
      <c r="F60" s="896" t="s">
        <v>140</v>
      </c>
      <c r="G60" s="956" t="s">
        <v>305</v>
      </c>
      <c r="H60" s="897" t="s">
        <v>15</v>
      </c>
      <c r="I60" s="897"/>
      <c r="J60" s="955" t="s">
        <v>292</v>
      </c>
      <c r="K60" s="955" t="s">
        <v>293</v>
      </c>
      <c r="L60" s="896" t="s">
        <v>263</v>
      </c>
      <c r="M60" s="956" t="s">
        <v>306</v>
      </c>
      <c r="N60" s="897" t="s">
        <v>15</v>
      </c>
      <c r="O60" s="897"/>
    </row>
    <row r="61" spans="1:15" s="464" customFormat="1" ht="120.75" customHeight="1">
      <c r="A61" s="889"/>
      <c r="B61" s="952"/>
      <c r="C61" s="889"/>
      <c r="D61" s="955"/>
      <c r="E61" s="955"/>
      <c r="F61" s="896"/>
      <c r="G61" s="956"/>
      <c r="H61" s="546" t="s">
        <v>296</v>
      </c>
      <c r="I61" s="277" t="s">
        <v>307</v>
      </c>
      <c r="J61" s="955"/>
      <c r="K61" s="955"/>
      <c r="L61" s="896"/>
      <c r="M61" s="956"/>
      <c r="N61" s="546" t="s">
        <v>298</v>
      </c>
      <c r="O61" s="547" t="s">
        <v>299</v>
      </c>
    </row>
    <row r="62" spans="1:15" s="549" customFormat="1" ht="10.5">
      <c r="A62" s="548">
        <v>1</v>
      </c>
      <c r="B62" s="351">
        <f aca="true" t="shared" si="9" ref="B62:O62">A62+1</f>
        <v>2</v>
      </c>
      <c r="C62" s="351">
        <f t="shared" si="9"/>
        <v>3</v>
      </c>
      <c r="D62" s="351">
        <f t="shared" si="9"/>
        <v>4</v>
      </c>
      <c r="E62" s="351">
        <f t="shared" si="9"/>
        <v>5</v>
      </c>
      <c r="F62" s="351">
        <f t="shared" si="9"/>
        <v>6</v>
      </c>
      <c r="G62" s="548">
        <f t="shared" si="9"/>
        <v>7</v>
      </c>
      <c r="H62" s="548">
        <f t="shared" si="9"/>
        <v>8</v>
      </c>
      <c r="I62" s="548">
        <f t="shared" si="9"/>
        <v>9</v>
      </c>
      <c r="J62" s="351">
        <f t="shared" si="9"/>
        <v>10</v>
      </c>
      <c r="K62" s="351">
        <f t="shared" si="9"/>
        <v>11</v>
      </c>
      <c r="L62" s="351">
        <f t="shared" si="9"/>
        <v>12</v>
      </c>
      <c r="M62" s="548">
        <f t="shared" si="9"/>
        <v>13</v>
      </c>
      <c r="N62" s="548">
        <f t="shared" si="9"/>
        <v>14</v>
      </c>
      <c r="O62" s="548">
        <f t="shared" si="9"/>
        <v>15</v>
      </c>
    </row>
    <row r="63" spans="1:15" s="414" customFormat="1" ht="12.75">
      <c r="A63" s="468">
        <v>1</v>
      </c>
      <c r="B63" s="468"/>
      <c r="C63" s="468"/>
      <c r="D63" s="470"/>
      <c r="E63" s="470"/>
      <c r="F63" s="550" t="e">
        <f aca="true" t="shared" si="10" ref="F63:F70">ROUND(E63/D63*100,1)</f>
        <v>#DIV/0!</v>
      </c>
      <c r="G63" s="563">
        <f>'норм водоотв  ЦО (5-1)'!I63</f>
        <v>0</v>
      </c>
      <c r="H63" s="564">
        <f>ROUND(D63*G63,3)</f>
        <v>0</v>
      </c>
      <c r="I63" s="564">
        <f>ROUND(E63*G63,3)</f>
        <v>0</v>
      </c>
      <c r="J63" s="565"/>
      <c r="K63" s="565"/>
      <c r="L63" s="566" t="e">
        <f aca="true" t="shared" si="11" ref="L63:L70">ROUND(K63/J63*100,1)</f>
        <v>#DIV/0!</v>
      </c>
      <c r="M63" s="563">
        <f>'норм водоотв  ЦО (5-1)'!N63</f>
        <v>0</v>
      </c>
      <c r="N63" s="564">
        <f>ROUND(J63*M63,3)</f>
        <v>0</v>
      </c>
      <c r="O63" s="564">
        <f>ROUND(K63*M63,3)</f>
        <v>0</v>
      </c>
    </row>
    <row r="64" spans="1:15" s="414" customFormat="1" ht="14.25" customHeight="1">
      <c r="A64" s="468"/>
      <c r="B64" s="468"/>
      <c r="C64" s="468"/>
      <c r="D64" s="470"/>
      <c r="E64" s="470"/>
      <c r="F64" s="550" t="e">
        <f t="shared" si="10"/>
        <v>#DIV/0!</v>
      </c>
      <c r="G64" s="563">
        <f>'норм водоотв  ЦО (5-1)'!I64</f>
        <v>0</v>
      </c>
      <c r="H64" s="564">
        <f>ROUND(D64*G64,3)</f>
        <v>0</v>
      </c>
      <c r="I64" s="564">
        <f>ROUND(E64*G64,3)</f>
        <v>0</v>
      </c>
      <c r="J64" s="565"/>
      <c r="K64" s="565"/>
      <c r="L64" s="566" t="e">
        <f t="shared" si="11"/>
        <v>#DIV/0!</v>
      </c>
      <c r="M64" s="563">
        <f>'норм водоотв  ЦО (5-1)'!N64</f>
        <v>0</v>
      </c>
      <c r="N64" s="564">
        <f>ROUND(J64*M64,3)</f>
        <v>0</v>
      </c>
      <c r="O64" s="564">
        <f>ROUND(K64*M64,3)</f>
        <v>0</v>
      </c>
    </row>
    <row r="65" spans="1:15" s="473" customFormat="1" ht="12.75">
      <c r="A65" s="234"/>
      <c r="B65" s="468"/>
      <c r="C65" s="468"/>
      <c r="D65" s="552"/>
      <c r="E65" s="470"/>
      <c r="F65" s="550" t="e">
        <f t="shared" si="10"/>
        <v>#DIV/0!</v>
      </c>
      <c r="G65" s="563">
        <f>'норм водоотв  ЦО (5-1)'!I65</f>
        <v>0</v>
      </c>
      <c r="H65" s="564">
        <f>ROUND(D65*G65,3)</f>
        <v>0</v>
      </c>
      <c r="I65" s="564">
        <f>ROUND(E65*G65,3)</f>
        <v>0</v>
      </c>
      <c r="J65" s="567"/>
      <c r="K65" s="565"/>
      <c r="L65" s="566" t="e">
        <f t="shared" si="11"/>
        <v>#DIV/0!</v>
      </c>
      <c r="M65" s="563">
        <f>'норм водоотв  ЦО (5-1)'!N65</f>
        <v>0</v>
      </c>
      <c r="N65" s="564">
        <f>ROUND(J65*M65,3)</f>
        <v>0</v>
      </c>
      <c r="O65" s="564">
        <f>ROUND(K65*M65,3)</f>
        <v>0</v>
      </c>
    </row>
    <row r="66" spans="1:15" s="473" customFormat="1" ht="12.75">
      <c r="A66" s="234"/>
      <c r="B66" s="468"/>
      <c r="C66" s="468"/>
      <c r="D66" s="553"/>
      <c r="E66" s="470"/>
      <c r="F66" s="550" t="e">
        <f t="shared" si="10"/>
        <v>#DIV/0!</v>
      </c>
      <c r="G66" s="563">
        <f>'норм водоотв  ЦО (5-1)'!I66</f>
        <v>0</v>
      </c>
      <c r="H66" s="564">
        <f>ROUND(D66*G66,3)</f>
        <v>0</v>
      </c>
      <c r="I66" s="564">
        <f>ROUND(E66*G66,3)</f>
        <v>0</v>
      </c>
      <c r="J66" s="568"/>
      <c r="K66" s="565"/>
      <c r="L66" s="566" t="e">
        <f t="shared" si="11"/>
        <v>#DIV/0!</v>
      </c>
      <c r="M66" s="563">
        <f>'норм водоотв  ЦО (5-1)'!N66</f>
        <v>0</v>
      </c>
      <c r="N66" s="564">
        <f>ROUND(J66*M66,3)</f>
        <v>0</v>
      </c>
      <c r="O66" s="564">
        <f>ROUND(K66*M66,3)</f>
        <v>0</v>
      </c>
    </row>
    <row r="67" spans="1:15" s="473" customFormat="1" ht="12.75">
      <c r="A67" s="554"/>
      <c r="B67" s="468"/>
      <c r="C67" s="468"/>
      <c r="D67" s="552"/>
      <c r="E67" s="470"/>
      <c r="F67" s="550" t="e">
        <f t="shared" si="10"/>
        <v>#DIV/0!</v>
      </c>
      <c r="G67" s="563">
        <f>'норм водоотв  ЦО (5-1)'!I67</f>
        <v>0</v>
      </c>
      <c r="H67" s="564">
        <f>ROUND(D67*G67,3)</f>
        <v>0</v>
      </c>
      <c r="I67" s="564">
        <f>ROUND(E67*G67,3)</f>
        <v>0</v>
      </c>
      <c r="J67" s="567"/>
      <c r="K67" s="565"/>
      <c r="L67" s="566" t="e">
        <f t="shared" si="11"/>
        <v>#DIV/0!</v>
      </c>
      <c r="M67" s="563">
        <f>'норм водоотв  ЦО (5-1)'!N67</f>
        <v>0</v>
      </c>
      <c r="N67" s="564">
        <f>ROUND(J67*M67,3)</f>
        <v>0</v>
      </c>
      <c r="O67" s="564">
        <f>ROUND(K67*M67,3)</f>
        <v>0</v>
      </c>
    </row>
    <row r="68" spans="1:15" s="473" customFormat="1" ht="12.75">
      <c r="A68" s="234"/>
      <c r="B68" s="468"/>
      <c r="C68" s="468"/>
      <c r="D68" s="284"/>
      <c r="E68" s="470"/>
      <c r="F68" s="550" t="e">
        <f t="shared" si="10"/>
        <v>#DIV/0!</v>
      </c>
      <c r="G68" s="563">
        <f>'норм водоотв  ЦО (5-1)'!I68</f>
        <v>0</v>
      </c>
      <c r="H68" s="564"/>
      <c r="I68" s="564"/>
      <c r="J68" s="569"/>
      <c r="K68" s="565"/>
      <c r="L68" s="566" t="e">
        <f t="shared" si="11"/>
        <v>#DIV/0!</v>
      </c>
      <c r="M68" s="563">
        <f>'норм водоотв  ЦО (5-1)'!N68</f>
        <v>0</v>
      </c>
      <c r="N68" s="564"/>
      <c r="O68" s="564"/>
    </row>
    <row r="69" spans="1:15" s="473" customFormat="1" ht="12.75">
      <c r="A69" s="234"/>
      <c r="B69" s="468"/>
      <c r="C69" s="468"/>
      <c r="D69" s="552"/>
      <c r="E69" s="470"/>
      <c r="F69" s="550" t="e">
        <f t="shared" si="10"/>
        <v>#DIV/0!</v>
      </c>
      <c r="G69" s="527"/>
      <c r="H69" s="287"/>
      <c r="I69" s="287"/>
      <c r="J69" s="552"/>
      <c r="K69" s="470"/>
      <c r="L69" s="551" t="e">
        <f t="shared" si="11"/>
        <v>#DIV/0!</v>
      </c>
      <c r="M69" s="527"/>
      <c r="N69" s="287"/>
      <c r="O69" s="287"/>
    </row>
    <row r="70" spans="1:15" s="348" customFormat="1" ht="30" customHeight="1">
      <c r="A70" s="476"/>
      <c r="B70" s="950" t="s">
        <v>86</v>
      </c>
      <c r="C70" s="950"/>
      <c r="D70" s="570" t="e">
        <f>ROUND(H70/G70,6)</f>
        <v>#DIV/0!</v>
      </c>
      <c r="E70" s="570" t="e">
        <f>ROUND(I70/G70,6)</f>
        <v>#DIV/0!</v>
      </c>
      <c r="F70" s="285" t="e">
        <f t="shared" si="10"/>
        <v>#DIV/0!</v>
      </c>
      <c r="G70" s="556">
        <f>SUM(G63:G69)</f>
        <v>0</v>
      </c>
      <c r="H70" s="556">
        <f>SUM(H63:H69)</f>
        <v>0</v>
      </c>
      <c r="I70" s="556">
        <f>SUM(I63:I69)</f>
        <v>0</v>
      </c>
      <c r="J70" s="557" t="e">
        <f>ROUND(N70/M70,6)</f>
        <v>#DIV/0!</v>
      </c>
      <c r="K70" s="557" t="e">
        <f>ROUND(O70/M70,6)</f>
        <v>#DIV/0!</v>
      </c>
      <c r="L70" s="285" t="e">
        <f t="shared" si="11"/>
        <v>#DIV/0!</v>
      </c>
      <c r="M70" s="556">
        <f>SUM(M63:M69)</f>
        <v>0</v>
      </c>
      <c r="N70" s="556">
        <f>SUM(N63:N69)</f>
        <v>0</v>
      </c>
      <c r="O70" s="556">
        <f>SUM(O63:O69)</f>
        <v>0</v>
      </c>
    </row>
    <row r="71" spans="1:11" s="460" customFormat="1" ht="25.5">
      <c r="A71" s="489"/>
      <c r="B71" s="206"/>
      <c r="C71" s="558" t="s">
        <v>300</v>
      </c>
      <c r="D71" s="559" t="s">
        <v>301</v>
      </c>
      <c r="E71" s="559" t="s">
        <v>302</v>
      </c>
      <c r="F71" s="560"/>
      <c r="J71" s="559" t="s">
        <v>303</v>
      </c>
      <c r="K71" s="559" t="s">
        <v>304</v>
      </c>
    </row>
    <row r="72" spans="1:15" s="208" customFormat="1" ht="15.75" customHeight="1">
      <c r="A72" s="274"/>
      <c r="B72" s="883" t="s">
        <v>157</v>
      </c>
      <c r="C72" s="883"/>
      <c r="D72" s="274"/>
      <c r="E72" s="274"/>
      <c r="F72" s="221"/>
      <c r="G72" s="222"/>
      <c r="H72" s="222"/>
      <c r="I72" s="222"/>
      <c r="J72" s="222"/>
      <c r="K72" s="222"/>
      <c r="L72" s="222"/>
      <c r="M72" s="274"/>
      <c r="N72" s="274"/>
      <c r="O72" s="274"/>
    </row>
    <row r="73" spans="1:15" s="208" customFormat="1" ht="15.75">
      <c r="A73" s="274"/>
      <c r="B73" s="394" t="s">
        <v>128</v>
      </c>
      <c r="C73" s="394"/>
      <c r="D73" s="274"/>
      <c r="E73" s="274"/>
      <c r="F73" s="221"/>
      <c r="G73" s="222"/>
      <c r="H73" s="222"/>
      <c r="I73" s="222"/>
      <c r="J73" s="222"/>
      <c r="K73" s="222"/>
      <c r="L73" s="222"/>
      <c r="M73" s="274"/>
      <c r="N73" s="274"/>
      <c r="O73" s="274"/>
    </row>
    <row r="74" spans="2:14" s="491" customFormat="1" ht="20.25" customHeight="1">
      <c r="B74" s="522" t="s">
        <v>168</v>
      </c>
      <c r="D74" s="523"/>
      <c r="E74" s="523"/>
      <c r="F74" s="523"/>
      <c r="G74" s="523"/>
      <c r="H74" s="523"/>
      <c r="I74" s="523"/>
      <c r="J74" s="523"/>
      <c r="K74" s="523"/>
      <c r="L74" s="523"/>
      <c r="M74" s="524"/>
      <c r="N74" s="524"/>
    </row>
    <row r="75" spans="1:15" s="460" customFormat="1" ht="34.5" customHeight="1">
      <c r="A75" s="889" t="s">
        <v>105</v>
      </c>
      <c r="B75" s="952" t="s">
        <v>291</v>
      </c>
      <c r="C75" s="889" t="s">
        <v>107</v>
      </c>
      <c r="D75" s="898" t="s">
        <v>131</v>
      </c>
      <c r="E75" s="898"/>
      <c r="F75" s="898"/>
      <c r="G75" s="898"/>
      <c r="H75" s="898"/>
      <c r="I75" s="898"/>
      <c r="J75" s="957" t="s">
        <v>430</v>
      </c>
      <c r="K75" s="957"/>
      <c r="L75" s="957"/>
      <c r="M75" s="957"/>
      <c r="N75" s="957"/>
      <c r="O75" s="957"/>
    </row>
    <row r="76" spans="1:15" s="460" customFormat="1" ht="61.5" customHeight="1">
      <c r="A76" s="889"/>
      <c r="B76" s="952"/>
      <c r="C76" s="889"/>
      <c r="D76" s="955" t="s">
        <v>292</v>
      </c>
      <c r="E76" s="955" t="s">
        <v>293</v>
      </c>
      <c r="F76" s="896" t="s">
        <v>140</v>
      </c>
      <c r="G76" s="956" t="s">
        <v>294</v>
      </c>
      <c r="H76" s="897" t="s">
        <v>15</v>
      </c>
      <c r="I76" s="897"/>
      <c r="J76" s="955" t="s">
        <v>292</v>
      </c>
      <c r="K76" s="955" t="s">
        <v>293</v>
      </c>
      <c r="L76" s="896" t="s">
        <v>263</v>
      </c>
      <c r="M76" s="956" t="s">
        <v>295</v>
      </c>
      <c r="N76" s="897" t="s">
        <v>15</v>
      </c>
      <c r="O76" s="897"/>
    </row>
    <row r="77" spans="1:15" s="464" customFormat="1" ht="120.75" customHeight="1">
      <c r="A77" s="889"/>
      <c r="B77" s="952"/>
      <c r="C77" s="889"/>
      <c r="D77" s="955"/>
      <c r="E77" s="955"/>
      <c r="F77" s="896"/>
      <c r="G77" s="956"/>
      <c r="H77" s="545" t="s">
        <v>296</v>
      </c>
      <c r="I77" s="277" t="s">
        <v>297</v>
      </c>
      <c r="J77" s="955"/>
      <c r="K77" s="955"/>
      <c r="L77" s="896"/>
      <c r="M77" s="956"/>
      <c r="N77" s="546" t="s">
        <v>298</v>
      </c>
      <c r="O77" s="547" t="s">
        <v>299</v>
      </c>
    </row>
    <row r="78" spans="1:15" s="549" customFormat="1" ht="10.5">
      <c r="A78" s="548">
        <v>1</v>
      </c>
      <c r="B78" s="351">
        <f aca="true" t="shared" si="12" ref="B78:O78">A78+1</f>
        <v>2</v>
      </c>
      <c r="C78" s="351">
        <f t="shared" si="12"/>
        <v>3</v>
      </c>
      <c r="D78" s="351">
        <f t="shared" si="12"/>
        <v>4</v>
      </c>
      <c r="E78" s="351">
        <f t="shared" si="12"/>
        <v>5</v>
      </c>
      <c r="F78" s="351">
        <f t="shared" si="12"/>
        <v>6</v>
      </c>
      <c r="G78" s="548">
        <f t="shared" si="12"/>
        <v>7</v>
      </c>
      <c r="H78" s="548">
        <f t="shared" si="12"/>
        <v>8</v>
      </c>
      <c r="I78" s="548">
        <f t="shared" si="12"/>
        <v>9</v>
      </c>
      <c r="J78" s="351">
        <f t="shared" si="12"/>
        <v>10</v>
      </c>
      <c r="K78" s="351">
        <f t="shared" si="12"/>
        <v>11</v>
      </c>
      <c r="L78" s="351">
        <f t="shared" si="12"/>
        <v>12</v>
      </c>
      <c r="M78" s="548">
        <f t="shared" si="12"/>
        <v>13</v>
      </c>
      <c r="N78" s="548">
        <f t="shared" si="12"/>
        <v>14</v>
      </c>
      <c r="O78" s="548">
        <f t="shared" si="12"/>
        <v>15</v>
      </c>
    </row>
    <row r="79" spans="1:15" s="414" customFormat="1" ht="12.75">
      <c r="A79" s="468">
        <v>1</v>
      </c>
      <c r="B79" s="468" t="str">
        <f>'норм водоотв  ЦО (5-1)'!B78</f>
        <v>п.Рассвет</v>
      </c>
      <c r="C79" s="468" t="str">
        <f>'норм водоотв  ЦО (5-1)'!C78</f>
        <v>ООО «АЛЬЯНС»</v>
      </c>
      <c r="D79" s="470">
        <v>69.55</v>
      </c>
      <c r="E79" s="470">
        <v>69.55</v>
      </c>
      <c r="F79" s="550">
        <f aca="true" t="shared" si="13" ref="F79:F86">ROUND(E79/D79*100,1)</f>
        <v>100</v>
      </c>
      <c r="G79" s="527">
        <f>'норм водоотв  ЦО (5-1)'!I78</f>
        <v>0.62664</v>
      </c>
      <c r="H79" s="287">
        <f>ROUND(D79*G79,3)</f>
        <v>43.583</v>
      </c>
      <c r="I79" s="287">
        <f>ROUND(E79*G79,3)</f>
        <v>43.583</v>
      </c>
      <c r="J79" s="470">
        <v>72.14</v>
      </c>
      <c r="K79" s="470">
        <v>72.14</v>
      </c>
      <c r="L79" s="551">
        <f aca="true" t="shared" si="14" ref="L79:L86">ROUND(K79/J79*100,1)</f>
        <v>100</v>
      </c>
      <c r="M79" s="527">
        <f>'норм водоотв  ЦО (5-1)'!N78</f>
        <v>0.62664</v>
      </c>
      <c r="N79" s="287">
        <f>ROUND(J79*M79,3)</f>
        <v>45.206</v>
      </c>
      <c r="O79" s="287">
        <f>ROUND(K79*M79,3)</f>
        <v>45.206</v>
      </c>
    </row>
    <row r="80" spans="1:15" s="414" customFormat="1" ht="12.75">
      <c r="A80" s="468">
        <v>2</v>
      </c>
      <c r="B80" s="468" t="str">
        <f>'норм водоотв  ЦО (5-1)'!B79</f>
        <v>п.Рассвет</v>
      </c>
      <c r="C80" s="468" t="str">
        <f>'норм водоотв  ЦО (5-1)'!C79</f>
        <v>ООО «АЛЬЯНС»</v>
      </c>
      <c r="D80" s="470">
        <v>69.55</v>
      </c>
      <c r="E80" s="470">
        <v>69.55</v>
      </c>
      <c r="F80" s="550">
        <f t="shared" si="13"/>
        <v>100</v>
      </c>
      <c r="G80" s="527">
        <f>'норм водоотв  ЦО (5-1)'!I79</f>
        <v>2.76376</v>
      </c>
      <c r="H80" s="287">
        <f>ROUND(D80*G80,3)</f>
        <v>192.22</v>
      </c>
      <c r="I80" s="287">
        <f>ROUND(E80*G80,3)</f>
        <v>192.22</v>
      </c>
      <c r="J80" s="470">
        <v>72.14</v>
      </c>
      <c r="K80" s="470">
        <v>72.14</v>
      </c>
      <c r="L80" s="551">
        <f t="shared" si="14"/>
        <v>100</v>
      </c>
      <c r="M80" s="527">
        <f>'норм водоотв  ЦО (5-1)'!N79</f>
        <v>4.55376</v>
      </c>
      <c r="N80" s="287">
        <f>ROUND(J80*M80,3)</f>
        <v>328.508</v>
      </c>
      <c r="O80" s="287">
        <f>ROUND(K80*M80,3)</f>
        <v>328.508</v>
      </c>
    </row>
    <row r="81" spans="1:15" s="473" customFormat="1" ht="12.75">
      <c r="A81" s="234"/>
      <c r="B81" s="468">
        <f>'норм водоотв  ЦО (5-1)'!B80</f>
        <v>0</v>
      </c>
      <c r="C81" s="468">
        <f>'норм водоотв  ЦО (5-1)'!C80</f>
        <v>0</v>
      </c>
      <c r="D81" s="552"/>
      <c r="E81" s="470"/>
      <c r="F81" s="550" t="e">
        <f t="shared" si="13"/>
        <v>#DIV/0!</v>
      </c>
      <c r="G81" s="527">
        <f>'норм водоотв  ЦО (5-1)'!I80</f>
        <v>0</v>
      </c>
      <c r="H81" s="287">
        <f>ROUND(D81*G81,3)</f>
        <v>0</v>
      </c>
      <c r="I81" s="287">
        <f>ROUND(E81*G81,3)</f>
        <v>0</v>
      </c>
      <c r="J81" s="552"/>
      <c r="K81" s="470"/>
      <c r="L81" s="551" t="e">
        <f t="shared" si="14"/>
        <v>#DIV/0!</v>
      </c>
      <c r="M81" s="527">
        <f>'норм водоотв  ЦО (5-1)'!N80</f>
        <v>0</v>
      </c>
      <c r="N81" s="287">
        <f>ROUND(J81*M81,3)</f>
        <v>0</v>
      </c>
      <c r="O81" s="287">
        <f>ROUND(K81*M81,3)</f>
        <v>0</v>
      </c>
    </row>
    <row r="82" spans="1:15" s="473" customFormat="1" ht="12.75">
      <c r="A82" s="234"/>
      <c r="B82" s="468">
        <f>'норм водоотв  ЦО (5-1)'!B81</f>
        <v>0</v>
      </c>
      <c r="C82" s="468">
        <f>'норм водоотв  ЦО (5-1)'!C81</f>
        <v>0</v>
      </c>
      <c r="D82" s="553"/>
      <c r="E82" s="470"/>
      <c r="F82" s="550" t="e">
        <f t="shared" si="13"/>
        <v>#DIV/0!</v>
      </c>
      <c r="G82" s="527">
        <f>'норм водоотв  ЦО (5-1)'!I81</f>
        <v>0</v>
      </c>
      <c r="H82" s="287">
        <f>ROUND(D82*G82,3)</f>
        <v>0</v>
      </c>
      <c r="I82" s="287">
        <f>ROUND(E82*G82,3)</f>
        <v>0</v>
      </c>
      <c r="J82" s="553"/>
      <c r="K82" s="470"/>
      <c r="L82" s="551" t="e">
        <f t="shared" si="14"/>
        <v>#DIV/0!</v>
      </c>
      <c r="M82" s="527">
        <f>'норм водоотв  ЦО (5-1)'!N81</f>
        <v>0</v>
      </c>
      <c r="N82" s="287">
        <f>ROUND(J82*M82,3)</f>
        <v>0</v>
      </c>
      <c r="O82" s="287">
        <f>ROUND(K82*M82,3)</f>
        <v>0</v>
      </c>
    </row>
    <row r="83" spans="1:15" s="473" customFormat="1" ht="12.75">
      <c r="A83" s="554"/>
      <c r="B83" s="468">
        <f>'норм водоотв  ЦО (5-1)'!B82</f>
        <v>0</v>
      </c>
      <c r="C83" s="468">
        <f>'норм водоотв  ЦО (5-1)'!C82</f>
        <v>0</v>
      </c>
      <c r="D83" s="552"/>
      <c r="E83" s="470"/>
      <c r="F83" s="550" t="e">
        <f t="shared" si="13"/>
        <v>#DIV/0!</v>
      </c>
      <c r="G83" s="527">
        <f>'норм водоотв  ЦО (5-1)'!I82</f>
        <v>0</v>
      </c>
      <c r="H83" s="287">
        <f>ROUND(D83*G83,3)</f>
        <v>0</v>
      </c>
      <c r="I83" s="287">
        <f>ROUND(E83*G83,3)</f>
        <v>0</v>
      </c>
      <c r="J83" s="552"/>
      <c r="K83" s="470"/>
      <c r="L83" s="551" t="e">
        <f t="shared" si="14"/>
        <v>#DIV/0!</v>
      </c>
      <c r="M83" s="527">
        <f>'норм водоотв  ЦО (5-1)'!N82</f>
        <v>0</v>
      </c>
      <c r="N83" s="287">
        <f>ROUND(J83*M83,3)</f>
        <v>0</v>
      </c>
      <c r="O83" s="287">
        <f>ROUND(K83*M83,3)</f>
        <v>0</v>
      </c>
    </row>
    <row r="84" spans="1:15" s="473" customFormat="1" ht="12.75">
      <c r="A84" s="234"/>
      <c r="B84" s="468">
        <f>'норм водоотв  ЦО (5-1)'!B83</f>
        <v>0</v>
      </c>
      <c r="C84" s="468">
        <f>'норм водоотв  ЦО (5-1)'!C83</f>
        <v>0</v>
      </c>
      <c r="D84" s="284"/>
      <c r="E84" s="470"/>
      <c r="F84" s="550" t="e">
        <f t="shared" si="13"/>
        <v>#DIV/0!</v>
      </c>
      <c r="G84" s="527"/>
      <c r="H84" s="287"/>
      <c r="I84" s="287"/>
      <c r="J84" s="284"/>
      <c r="K84" s="470"/>
      <c r="L84" s="551" t="e">
        <f t="shared" si="14"/>
        <v>#DIV/0!</v>
      </c>
      <c r="M84" s="527"/>
      <c r="N84" s="287"/>
      <c r="O84" s="287"/>
    </row>
    <row r="85" spans="1:15" s="473" customFormat="1" ht="12.75">
      <c r="A85" s="234"/>
      <c r="B85" s="468"/>
      <c r="C85" s="468"/>
      <c r="D85" s="552"/>
      <c r="E85" s="470"/>
      <c r="F85" s="550" t="e">
        <f t="shared" si="13"/>
        <v>#DIV/0!</v>
      </c>
      <c r="G85" s="527"/>
      <c r="H85" s="287"/>
      <c r="I85" s="287"/>
      <c r="J85" s="552"/>
      <c r="K85" s="470"/>
      <c r="L85" s="551" t="e">
        <f t="shared" si="14"/>
        <v>#DIV/0!</v>
      </c>
      <c r="M85" s="527"/>
      <c r="N85" s="287"/>
      <c r="O85" s="287"/>
    </row>
    <row r="86" spans="1:15" s="348" customFormat="1" ht="30" customHeight="1">
      <c r="A86" s="476"/>
      <c r="B86" s="950" t="s">
        <v>86</v>
      </c>
      <c r="C86" s="950"/>
      <c r="D86" s="555">
        <f>ROUND(H86/G86,6)</f>
        <v>69.550201</v>
      </c>
      <c r="E86" s="555">
        <f>ROUND(I86/G86,6)</f>
        <v>69.550201</v>
      </c>
      <c r="F86" s="285">
        <f t="shared" si="13"/>
        <v>100</v>
      </c>
      <c r="G86" s="556">
        <f>SUM(G79:G85)</f>
        <v>3.3904</v>
      </c>
      <c r="H86" s="556">
        <f>SUM(H79:H85)</f>
        <v>235.803</v>
      </c>
      <c r="I86" s="556">
        <f>SUM(I79:I85)</f>
        <v>235.803</v>
      </c>
      <c r="J86" s="557">
        <f>ROUND(N86/M86,6)</f>
        <v>72.139989</v>
      </c>
      <c r="K86" s="557">
        <f>ROUND(O86/M86,6)</f>
        <v>72.139989</v>
      </c>
      <c r="L86" s="285">
        <f t="shared" si="14"/>
        <v>100</v>
      </c>
      <c r="M86" s="556">
        <f>SUM(M79:M85)</f>
        <v>5.1804</v>
      </c>
      <c r="N86" s="556">
        <f>SUM(N79:N85)</f>
        <v>373.714</v>
      </c>
      <c r="O86" s="556">
        <f>SUM(O79:O85)</f>
        <v>373.714</v>
      </c>
    </row>
    <row r="87" spans="1:11" s="460" customFormat="1" ht="25.5">
      <c r="A87" s="489"/>
      <c r="B87" s="206"/>
      <c r="C87" s="558" t="s">
        <v>300</v>
      </c>
      <c r="D87" s="559" t="s">
        <v>301</v>
      </c>
      <c r="E87" s="559" t="s">
        <v>302</v>
      </c>
      <c r="F87" s="560"/>
      <c r="J87" s="559" t="s">
        <v>303</v>
      </c>
      <c r="K87" s="559" t="s">
        <v>304</v>
      </c>
    </row>
    <row r="88" spans="1:11" s="460" customFormat="1" ht="15.75">
      <c r="A88" s="489"/>
      <c r="B88" s="206"/>
      <c r="C88" s="558"/>
      <c r="D88" s="561"/>
      <c r="E88" s="561"/>
      <c r="F88" s="560"/>
      <c r="J88" s="561"/>
      <c r="K88" s="561"/>
    </row>
    <row r="89" s="289" customFormat="1" ht="12.75"/>
    <row r="90" spans="2:9" s="494" customFormat="1" ht="15">
      <c r="B90" s="562" t="s">
        <v>247</v>
      </c>
      <c r="D90" s="454"/>
      <c r="E90" s="454"/>
      <c r="F90" s="454"/>
      <c r="G90" s="454"/>
      <c r="H90" s="454"/>
      <c r="I90" s="454"/>
    </row>
    <row r="91" s="289" customFormat="1" ht="12.75"/>
    <row r="92" spans="1:15" s="460" customFormat="1" ht="34.5" customHeight="1">
      <c r="A92" s="889" t="s">
        <v>105</v>
      </c>
      <c r="B92" s="952" t="s">
        <v>291</v>
      </c>
      <c r="C92" s="889" t="s">
        <v>107</v>
      </c>
      <c r="D92" s="898" t="s">
        <v>131</v>
      </c>
      <c r="E92" s="898"/>
      <c r="F92" s="898"/>
      <c r="G92" s="898"/>
      <c r="H92" s="898"/>
      <c r="I92" s="898"/>
      <c r="J92" s="957" t="s">
        <v>430</v>
      </c>
      <c r="K92" s="957"/>
      <c r="L92" s="957"/>
      <c r="M92" s="957"/>
      <c r="N92" s="957"/>
      <c r="O92" s="957"/>
    </row>
    <row r="93" spans="1:15" s="460" customFormat="1" ht="61.5" customHeight="1">
      <c r="A93" s="889"/>
      <c r="B93" s="952"/>
      <c r="C93" s="889"/>
      <c r="D93" s="955" t="s">
        <v>292</v>
      </c>
      <c r="E93" s="955" t="s">
        <v>293</v>
      </c>
      <c r="F93" s="896" t="s">
        <v>140</v>
      </c>
      <c r="G93" s="956" t="s">
        <v>305</v>
      </c>
      <c r="H93" s="897" t="s">
        <v>15</v>
      </c>
      <c r="I93" s="897"/>
      <c r="J93" s="955" t="s">
        <v>292</v>
      </c>
      <c r="K93" s="955" t="s">
        <v>293</v>
      </c>
      <c r="L93" s="896" t="s">
        <v>263</v>
      </c>
      <c r="M93" s="956" t="s">
        <v>306</v>
      </c>
      <c r="N93" s="897" t="s">
        <v>15</v>
      </c>
      <c r="O93" s="897"/>
    </row>
    <row r="94" spans="1:15" s="464" customFormat="1" ht="120.75" customHeight="1">
      <c r="A94" s="889"/>
      <c r="B94" s="952"/>
      <c r="C94" s="889"/>
      <c r="D94" s="955"/>
      <c r="E94" s="955"/>
      <c r="F94" s="896"/>
      <c r="G94" s="956"/>
      <c r="H94" s="546" t="s">
        <v>296</v>
      </c>
      <c r="I94" s="277" t="s">
        <v>307</v>
      </c>
      <c r="J94" s="955"/>
      <c r="K94" s="955"/>
      <c r="L94" s="896"/>
      <c r="M94" s="956"/>
      <c r="N94" s="546" t="s">
        <v>298</v>
      </c>
      <c r="O94" s="547" t="s">
        <v>299</v>
      </c>
    </row>
    <row r="95" spans="1:15" s="549" customFormat="1" ht="10.5">
      <c r="A95" s="548">
        <v>1</v>
      </c>
      <c r="B95" s="351">
        <f aca="true" t="shared" si="15" ref="B95:O95">A95+1</f>
        <v>2</v>
      </c>
      <c r="C95" s="351">
        <f t="shared" si="15"/>
        <v>3</v>
      </c>
      <c r="D95" s="351">
        <f t="shared" si="15"/>
        <v>4</v>
      </c>
      <c r="E95" s="351">
        <f t="shared" si="15"/>
        <v>5</v>
      </c>
      <c r="F95" s="351">
        <f t="shared" si="15"/>
        <v>6</v>
      </c>
      <c r="G95" s="548">
        <f t="shared" si="15"/>
        <v>7</v>
      </c>
      <c r="H95" s="548">
        <f t="shared" si="15"/>
        <v>8</v>
      </c>
      <c r="I95" s="548">
        <f t="shared" si="15"/>
        <v>9</v>
      </c>
      <c r="J95" s="351">
        <f t="shared" si="15"/>
        <v>10</v>
      </c>
      <c r="K95" s="351">
        <f t="shared" si="15"/>
        <v>11</v>
      </c>
      <c r="L95" s="351">
        <f t="shared" si="15"/>
        <v>12</v>
      </c>
      <c r="M95" s="548">
        <f t="shared" si="15"/>
        <v>13</v>
      </c>
      <c r="N95" s="548">
        <f t="shared" si="15"/>
        <v>14</v>
      </c>
      <c r="O95" s="548">
        <f t="shared" si="15"/>
        <v>15</v>
      </c>
    </row>
    <row r="96" spans="1:15" s="414" customFormat="1" ht="12.75">
      <c r="A96" s="468"/>
      <c r="B96" s="468">
        <f>'норм водоотв  ЦО (5-1)'!B93</f>
        <v>0</v>
      </c>
      <c r="C96" s="468">
        <f>'норм водоотв  ЦО (5-1)'!C93</f>
        <v>0</v>
      </c>
      <c r="D96" s="470"/>
      <c r="E96" s="470"/>
      <c r="F96" s="550" t="e">
        <f aca="true" t="shared" si="16" ref="F96:F103">ROUND(E96/D96*100,1)</f>
        <v>#DIV/0!</v>
      </c>
      <c r="G96" s="563">
        <f>'норм водоотв  ЦО (5-1)'!I93</f>
        <v>0</v>
      </c>
      <c r="H96" s="564">
        <f>ROUND(D96*G96,3)</f>
        <v>0</v>
      </c>
      <c r="I96" s="564">
        <f>ROUND(E96*G96,3)</f>
        <v>0</v>
      </c>
      <c r="J96" s="565"/>
      <c r="K96" s="565"/>
      <c r="L96" s="566" t="e">
        <f aca="true" t="shared" si="17" ref="L96:L103">ROUND(K96/J96*100,1)</f>
        <v>#DIV/0!</v>
      </c>
      <c r="M96" s="563">
        <f>'норм водоотв  ЦО (5-1)'!N93</f>
        <v>0</v>
      </c>
      <c r="N96" s="564">
        <f>ROUND(J96*M96,3)</f>
        <v>0</v>
      </c>
      <c r="O96" s="564">
        <f>ROUND(K96*M96,3)</f>
        <v>0</v>
      </c>
    </row>
    <row r="97" spans="1:15" s="414" customFormat="1" ht="14.25" customHeight="1">
      <c r="A97" s="468"/>
      <c r="B97" s="468">
        <f>'норм водоотв  ЦО (5-1)'!B94</f>
        <v>0</v>
      </c>
      <c r="C97" s="468">
        <f>'норм водоотв  ЦО (5-1)'!C94</f>
        <v>0</v>
      </c>
      <c r="D97" s="470"/>
      <c r="E97" s="470"/>
      <c r="F97" s="550" t="e">
        <f t="shared" si="16"/>
        <v>#DIV/0!</v>
      </c>
      <c r="G97" s="563">
        <f>'норм водоотв  ЦО (5-1)'!I94</f>
        <v>0</v>
      </c>
      <c r="H97" s="564">
        <f>ROUND(D97*G97,3)</f>
        <v>0</v>
      </c>
      <c r="I97" s="564">
        <f>ROUND(E97*G97,3)</f>
        <v>0</v>
      </c>
      <c r="J97" s="565"/>
      <c r="K97" s="565"/>
      <c r="L97" s="566" t="e">
        <f t="shared" si="17"/>
        <v>#DIV/0!</v>
      </c>
      <c r="M97" s="563">
        <f>'норм водоотв  ЦО (5-1)'!N94</f>
        <v>0</v>
      </c>
      <c r="N97" s="564">
        <f>ROUND(J97*M97,3)</f>
        <v>0</v>
      </c>
      <c r="O97" s="564">
        <f>ROUND(K97*M97,3)</f>
        <v>0</v>
      </c>
    </row>
    <row r="98" spans="1:15" s="473" customFormat="1" ht="12.75">
      <c r="A98" s="234"/>
      <c r="B98" s="468">
        <f>'норм водоотв  ЦО (5-1)'!B95</f>
        <v>0</v>
      </c>
      <c r="C98" s="468">
        <f>'норм водоотв  ЦО (5-1)'!C95</f>
        <v>0</v>
      </c>
      <c r="D98" s="552"/>
      <c r="E98" s="470"/>
      <c r="F98" s="550" t="e">
        <f t="shared" si="16"/>
        <v>#DIV/0!</v>
      </c>
      <c r="G98" s="563">
        <f>'норм водоотв  ЦО (5-1)'!I95</f>
        <v>0</v>
      </c>
      <c r="H98" s="564">
        <f>ROUND(D98*G98,3)</f>
        <v>0</v>
      </c>
      <c r="I98" s="564">
        <f>ROUND(E98*G98,3)</f>
        <v>0</v>
      </c>
      <c r="J98" s="567"/>
      <c r="K98" s="565"/>
      <c r="L98" s="566" t="e">
        <f t="shared" si="17"/>
        <v>#DIV/0!</v>
      </c>
      <c r="M98" s="563">
        <f>'норм водоотв  ЦО (5-1)'!N95</f>
        <v>0</v>
      </c>
      <c r="N98" s="564">
        <f>ROUND(J98*M98,3)</f>
        <v>0</v>
      </c>
      <c r="O98" s="564">
        <f>ROUND(K98*M98,3)</f>
        <v>0</v>
      </c>
    </row>
    <row r="99" spans="1:15" s="473" customFormat="1" ht="12.75">
      <c r="A99" s="234"/>
      <c r="B99" s="468">
        <f>'норм водоотв  ЦО (5-1)'!B96</f>
        <v>0</v>
      </c>
      <c r="C99" s="468">
        <f>'норм водоотв  ЦО (5-1)'!C96</f>
        <v>0</v>
      </c>
      <c r="D99" s="553"/>
      <c r="E99" s="470"/>
      <c r="F99" s="550" t="e">
        <f t="shared" si="16"/>
        <v>#DIV/0!</v>
      </c>
      <c r="G99" s="563">
        <f>'норм водоотв  ЦО (5-1)'!I96</f>
        <v>0</v>
      </c>
      <c r="H99" s="564">
        <f>ROUND(D99*G99,3)</f>
        <v>0</v>
      </c>
      <c r="I99" s="564">
        <f>ROUND(E99*G99,3)</f>
        <v>0</v>
      </c>
      <c r="J99" s="568"/>
      <c r="K99" s="565"/>
      <c r="L99" s="566" t="e">
        <f t="shared" si="17"/>
        <v>#DIV/0!</v>
      </c>
      <c r="M99" s="563">
        <f>'норм водоотв  ЦО (5-1)'!N96</f>
        <v>0</v>
      </c>
      <c r="N99" s="564">
        <f>ROUND(J99*M99,3)</f>
        <v>0</v>
      </c>
      <c r="O99" s="564">
        <f>ROUND(K99*M99,3)</f>
        <v>0</v>
      </c>
    </row>
    <row r="100" spans="1:15" s="473" customFormat="1" ht="12.75">
      <c r="A100" s="554"/>
      <c r="B100" s="468">
        <f>'норм водоотв  ЦО (5-1)'!B97</f>
        <v>0</v>
      </c>
      <c r="C100" s="468">
        <f>'норм водоотв  ЦО (5-1)'!C97</f>
        <v>0</v>
      </c>
      <c r="D100" s="552"/>
      <c r="E100" s="470"/>
      <c r="F100" s="550" t="e">
        <f t="shared" si="16"/>
        <v>#DIV/0!</v>
      </c>
      <c r="G100" s="563">
        <f>'норм водоотв  ЦО (5-1)'!I97</f>
        <v>0</v>
      </c>
      <c r="H100" s="564">
        <f>ROUND(D100*G100,3)</f>
        <v>0</v>
      </c>
      <c r="I100" s="564">
        <f>ROUND(E100*G100,3)</f>
        <v>0</v>
      </c>
      <c r="J100" s="567"/>
      <c r="K100" s="565"/>
      <c r="L100" s="566" t="e">
        <f t="shared" si="17"/>
        <v>#DIV/0!</v>
      </c>
      <c r="M100" s="563">
        <f>'норм водоотв  ЦО (5-1)'!N97</f>
        <v>0</v>
      </c>
      <c r="N100" s="564">
        <f>ROUND(J100*M100,3)</f>
        <v>0</v>
      </c>
      <c r="O100" s="564">
        <f>ROUND(K100*M100,3)</f>
        <v>0</v>
      </c>
    </row>
    <row r="101" spans="1:15" s="473" customFormat="1" ht="12.75">
      <c r="A101" s="234"/>
      <c r="B101" s="468"/>
      <c r="C101" s="468"/>
      <c r="D101" s="284"/>
      <c r="E101" s="470"/>
      <c r="F101" s="550" t="e">
        <f t="shared" si="16"/>
        <v>#DIV/0!</v>
      </c>
      <c r="G101" s="563">
        <f>'норм водоотв  ЦО (5-1)'!I98</f>
        <v>0</v>
      </c>
      <c r="H101" s="564"/>
      <c r="I101" s="564"/>
      <c r="J101" s="569"/>
      <c r="K101" s="565"/>
      <c r="L101" s="566" t="e">
        <f t="shared" si="17"/>
        <v>#DIV/0!</v>
      </c>
      <c r="M101" s="563">
        <f>'норм водоотв  ЦО (5-1)'!N98</f>
        <v>0</v>
      </c>
      <c r="N101" s="564"/>
      <c r="O101" s="564"/>
    </row>
    <row r="102" spans="1:15" s="473" customFormat="1" ht="12.75">
      <c r="A102" s="234"/>
      <c r="B102" s="468"/>
      <c r="C102" s="468"/>
      <c r="D102" s="552"/>
      <c r="E102" s="470"/>
      <c r="F102" s="550" t="e">
        <f t="shared" si="16"/>
        <v>#DIV/0!</v>
      </c>
      <c r="G102" s="527"/>
      <c r="H102" s="287"/>
      <c r="I102" s="287"/>
      <c r="J102" s="552"/>
      <c r="K102" s="470"/>
      <c r="L102" s="551" t="e">
        <f t="shared" si="17"/>
        <v>#DIV/0!</v>
      </c>
      <c r="M102" s="527"/>
      <c r="N102" s="287"/>
      <c r="O102" s="287"/>
    </row>
    <row r="103" spans="1:15" s="348" customFormat="1" ht="30" customHeight="1">
      <c r="A103" s="476"/>
      <c r="B103" s="950" t="s">
        <v>86</v>
      </c>
      <c r="C103" s="950"/>
      <c r="D103" s="570" t="e">
        <f>ROUND(H103/G103,6)</f>
        <v>#DIV/0!</v>
      </c>
      <c r="E103" s="570" t="e">
        <f>ROUND(I103/G103,6)</f>
        <v>#DIV/0!</v>
      </c>
      <c r="F103" s="285" t="e">
        <f t="shared" si="16"/>
        <v>#DIV/0!</v>
      </c>
      <c r="G103" s="556">
        <f>SUM(G96:G102)</f>
        <v>0</v>
      </c>
      <c r="H103" s="556">
        <f>SUM(H96:H102)</f>
        <v>0</v>
      </c>
      <c r="I103" s="556">
        <f>SUM(I96:I102)</f>
        <v>0</v>
      </c>
      <c r="J103" s="557" t="e">
        <f>ROUND(N103/M103,6)</f>
        <v>#DIV/0!</v>
      </c>
      <c r="K103" s="557" t="e">
        <f>ROUND(O103/M103,6)</f>
        <v>#DIV/0!</v>
      </c>
      <c r="L103" s="285" t="e">
        <f t="shared" si="17"/>
        <v>#DIV/0!</v>
      </c>
      <c r="M103" s="556">
        <f>SUM(M96:M102)</f>
        <v>0</v>
      </c>
      <c r="N103" s="556">
        <f>SUM(N96:N102)</f>
        <v>0</v>
      </c>
      <c r="O103" s="556">
        <f>SUM(O96:O102)</f>
        <v>0</v>
      </c>
    </row>
    <row r="104" spans="1:11" s="460" customFormat="1" ht="25.5">
      <c r="A104" s="489"/>
      <c r="B104" s="206"/>
      <c r="C104" s="558" t="s">
        <v>300</v>
      </c>
      <c r="D104" s="559" t="s">
        <v>301</v>
      </c>
      <c r="E104" s="559" t="s">
        <v>302</v>
      </c>
      <c r="F104" s="560"/>
      <c r="J104" s="559" t="s">
        <v>303</v>
      </c>
      <c r="K104" s="559" t="s">
        <v>304</v>
      </c>
    </row>
    <row r="106" spans="1:15" s="208" customFormat="1" ht="15.75" customHeight="1">
      <c r="A106" s="274"/>
      <c r="B106" s="883" t="s">
        <v>157</v>
      </c>
      <c r="C106" s="883"/>
      <c r="D106" s="274"/>
      <c r="E106" s="274"/>
      <c r="F106" s="221"/>
      <c r="G106" s="222"/>
      <c r="H106" s="222"/>
      <c r="I106" s="222"/>
      <c r="J106" s="222"/>
      <c r="K106" s="222"/>
      <c r="L106" s="222"/>
      <c r="M106" s="274"/>
      <c r="N106" s="274"/>
      <c r="O106" s="274"/>
    </row>
    <row r="107" spans="1:15" s="208" customFormat="1" ht="15.75">
      <c r="A107" s="274"/>
      <c r="B107" s="394" t="s">
        <v>255</v>
      </c>
      <c r="C107" s="394"/>
      <c r="D107" s="274"/>
      <c r="E107" s="274"/>
      <c r="F107" s="221"/>
      <c r="G107" s="222"/>
      <c r="H107" s="222"/>
      <c r="I107" s="222"/>
      <c r="J107" s="222"/>
      <c r="K107" s="222"/>
      <c r="L107" s="222"/>
      <c r="M107" s="274"/>
      <c r="N107" s="274"/>
      <c r="O107" s="274"/>
    </row>
    <row r="109" spans="2:14" s="491" customFormat="1" ht="20.25" customHeight="1">
      <c r="B109" s="522" t="s">
        <v>168</v>
      </c>
      <c r="D109" s="523"/>
      <c r="E109" s="523"/>
      <c r="F109" s="523"/>
      <c r="G109" s="523"/>
      <c r="H109" s="523"/>
      <c r="I109" s="523"/>
      <c r="J109" s="523"/>
      <c r="K109" s="523"/>
      <c r="L109" s="523"/>
      <c r="M109" s="524"/>
      <c r="N109" s="524"/>
    </row>
    <row r="110" spans="1:15" s="460" customFormat="1" ht="34.5" customHeight="1">
      <c r="A110" s="889" t="s">
        <v>105</v>
      </c>
      <c r="B110" s="952" t="s">
        <v>291</v>
      </c>
      <c r="C110" s="889" t="s">
        <v>107</v>
      </c>
      <c r="D110" s="898" t="s">
        <v>162</v>
      </c>
      <c r="E110" s="898"/>
      <c r="F110" s="898"/>
      <c r="G110" s="898"/>
      <c r="H110" s="898"/>
      <c r="I110" s="898"/>
      <c r="J110" s="957" t="s">
        <v>431</v>
      </c>
      <c r="K110" s="957"/>
      <c r="L110" s="957"/>
      <c r="M110" s="957"/>
      <c r="N110" s="957"/>
      <c r="O110" s="957"/>
    </row>
    <row r="111" spans="1:15" s="460" customFormat="1" ht="61.5" customHeight="1">
      <c r="A111" s="889"/>
      <c r="B111" s="952"/>
      <c r="C111" s="889"/>
      <c r="D111" s="955" t="s">
        <v>292</v>
      </c>
      <c r="E111" s="955" t="s">
        <v>293</v>
      </c>
      <c r="F111" s="896" t="s">
        <v>140</v>
      </c>
      <c r="G111" s="956" t="s">
        <v>294</v>
      </c>
      <c r="H111" s="897" t="s">
        <v>15</v>
      </c>
      <c r="I111" s="897"/>
      <c r="J111" s="955" t="s">
        <v>292</v>
      </c>
      <c r="K111" s="955" t="s">
        <v>293</v>
      </c>
      <c r="L111" s="896" t="s">
        <v>263</v>
      </c>
      <c r="M111" s="956" t="s">
        <v>295</v>
      </c>
      <c r="N111" s="897" t="s">
        <v>15</v>
      </c>
      <c r="O111" s="897"/>
    </row>
    <row r="112" spans="1:15" s="464" customFormat="1" ht="120.75" customHeight="1">
      <c r="A112" s="889"/>
      <c r="B112" s="952"/>
      <c r="C112" s="889"/>
      <c r="D112" s="955"/>
      <c r="E112" s="955"/>
      <c r="F112" s="896"/>
      <c r="G112" s="956"/>
      <c r="H112" s="545" t="s">
        <v>296</v>
      </c>
      <c r="I112" s="277" t="s">
        <v>297</v>
      </c>
      <c r="J112" s="955"/>
      <c r="K112" s="955"/>
      <c r="L112" s="896"/>
      <c r="M112" s="956"/>
      <c r="N112" s="546" t="s">
        <v>298</v>
      </c>
      <c r="O112" s="547" t="s">
        <v>299</v>
      </c>
    </row>
    <row r="113" spans="1:15" s="549" customFormat="1" ht="10.5">
      <c r="A113" s="548">
        <v>1</v>
      </c>
      <c r="B113" s="351">
        <f aca="true" t="shared" si="18" ref="B113:O113">A113+1</f>
        <v>2</v>
      </c>
      <c r="C113" s="351">
        <f t="shared" si="18"/>
        <v>3</v>
      </c>
      <c r="D113" s="351">
        <f t="shared" si="18"/>
        <v>4</v>
      </c>
      <c r="E113" s="351">
        <f t="shared" si="18"/>
        <v>5</v>
      </c>
      <c r="F113" s="351">
        <f t="shared" si="18"/>
        <v>6</v>
      </c>
      <c r="G113" s="548">
        <f t="shared" si="18"/>
        <v>7</v>
      </c>
      <c r="H113" s="548">
        <f t="shared" si="18"/>
        <v>8</v>
      </c>
      <c r="I113" s="548">
        <f t="shared" si="18"/>
        <v>9</v>
      </c>
      <c r="J113" s="351">
        <f t="shared" si="18"/>
        <v>10</v>
      </c>
      <c r="K113" s="351">
        <f t="shared" si="18"/>
        <v>11</v>
      </c>
      <c r="L113" s="351">
        <f t="shared" si="18"/>
        <v>12</v>
      </c>
      <c r="M113" s="548">
        <f t="shared" si="18"/>
        <v>13</v>
      </c>
      <c r="N113" s="548">
        <f t="shared" si="18"/>
        <v>14</v>
      </c>
      <c r="O113" s="548">
        <f t="shared" si="18"/>
        <v>15</v>
      </c>
    </row>
    <row r="114" spans="1:15" s="414" customFormat="1" ht="12.75">
      <c r="A114" s="468">
        <v>1</v>
      </c>
      <c r="B114" s="468" t="str">
        <f>'норм водоотв  ЦО (5-1)'!B109</f>
        <v>п.Рассвет</v>
      </c>
      <c r="C114" s="468" t="str">
        <f>'норм водоотв  ЦО (5-1)'!C109</f>
        <v>ООО «АЛЬЯНС»</v>
      </c>
      <c r="D114" s="470">
        <v>69.55</v>
      </c>
      <c r="E114" s="470">
        <v>69.55</v>
      </c>
      <c r="F114" s="550">
        <f aca="true" t="shared" si="19" ref="F114:F121">ROUND(E114/D114*100,1)</f>
        <v>100</v>
      </c>
      <c r="G114" s="527">
        <f>'норм водоотв  ЦО (5-1)'!I109</f>
        <v>1.25328</v>
      </c>
      <c r="H114" s="287">
        <f>ROUND(D114*G114,3)</f>
        <v>87.166</v>
      </c>
      <c r="I114" s="287">
        <f>ROUND(E114*G114,3)</f>
        <v>87.166</v>
      </c>
      <c r="J114" s="470">
        <v>72.14</v>
      </c>
      <c r="K114" s="470">
        <v>72.14</v>
      </c>
      <c r="L114" s="551">
        <f aca="true" t="shared" si="20" ref="L114:L121">ROUND(K114/J114*100,1)</f>
        <v>100</v>
      </c>
      <c r="M114" s="527">
        <f>'норм водоотв  ЦО (5-1)'!N109</f>
        <v>1.25328</v>
      </c>
      <c r="N114" s="287">
        <f>ROUND(J114*M114,3)</f>
        <v>90.412</v>
      </c>
      <c r="O114" s="287">
        <f>ROUND(K114*M114,3)</f>
        <v>90.412</v>
      </c>
    </row>
    <row r="115" spans="1:15" s="414" customFormat="1" ht="12.75">
      <c r="A115" s="468">
        <v>2</v>
      </c>
      <c r="B115" s="468" t="str">
        <f>'норм водоотв  ЦО (5-1)'!B110</f>
        <v>п.Рассвет</v>
      </c>
      <c r="C115" s="468" t="str">
        <f>'норм водоотв  ЦО (5-1)'!C110</f>
        <v>ООО «АЛЬЯНС»</v>
      </c>
      <c r="D115" s="470">
        <v>69.55</v>
      </c>
      <c r="E115" s="470">
        <v>69.55</v>
      </c>
      <c r="F115" s="550">
        <f t="shared" si="19"/>
        <v>100</v>
      </c>
      <c r="G115" s="527">
        <f>'норм водоотв  ЦО (5-1)'!I110</f>
        <v>5.52752</v>
      </c>
      <c r="H115" s="287">
        <f>ROUND(D115*G115,3)</f>
        <v>384.439</v>
      </c>
      <c r="I115" s="287">
        <f>ROUND(E115*G115,3)</f>
        <v>384.439</v>
      </c>
      <c r="J115" s="470">
        <v>72.14</v>
      </c>
      <c r="K115" s="470">
        <v>72.14</v>
      </c>
      <c r="L115" s="551">
        <f t="shared" si="20"/>
        <v>100</v>
      </c>
      <c r="M115" s="527">
        <f>'норм водоотв  ЦО (5-1)'!N110</f>
        <v>5.52752</v>
      </c>
      <c r="N115" s="287">
        <f>ROUND(J115*M115,3)</f>
        <v>398.755</v>
      </c>
      <c r="O115" s="287">
        <f>ROUND(K115*M115,3)</f>
        <v>398.755</v>
      </c>
    </row>
    <row r="116" spans="1:15" s="473" customFormat="1" ht="12.75">
      <c r="A116" s="234"/>
      <c r="B116" s="468">
        <f>'норм водоотв  ЦО (5-1)'!B111</f>
        <v>0</v>
      </c>
      <c r="C116" s="468">
        <f>'норм водоотв  ЦО (5-1)'!C111</f>
        <v>0</v>
      </c>
      <c r="D116" s="552"/>
      <c r="E116" s="470"/>
      <c r="F116" s="550" t="e">
        <f t="shared" si="19"/>
        <v>#DIV/0!</v>
      </c>
      <c r="G116" s="527">
        <f>'норм водоотв  ЦО (5-1)'!I111</f>
        <v>0</v>
      </c>
      <c r="H116" s="287">
        <f>ROUND(D116*G116,3)</f>
        <v>0</v>
      </c>
      <c r="I116" s="287">
        <f>ROUND(E116*G116,3)</f>
        <v>0</v>
      </c>
      <c r="J116" s="552"/>
      <c r="K116" s="470"/>
      <c r="L116" s="551" t="e">
        <f t="shared" si="20"/>
        <v>#DIV/0!</v>
      </c>
      <c r="M116" s="527">
        <f>'норм водоотв  ЦО (5-1)'!N111</f>
        <v>0</v>
      </c>
      <c r="N116" s="287">
        <f>ROUND(J116*M116,3)</f>
        <v>0</v>
      </c>
      <c r="O116" s="287">
        <f>ROUND(K116*M116,3)</f>
        <v>0</v>
      </c>
    </row>
    <row r="117" spans="1:15" s="473" customFormat="1" ht="12.75">
      <c r="A117" s="234"/>
      <c r="B117" s="468">
        <f>'норм водоотв  ЦО (5-1)'!B112</f>
        <v>0</v>
      </c>
      <c r="C117" s="468">
        <f>'норм водоотв  ЦО (5-1)'!C112</f>
        <v>0</v>
      </c>
      <c r="D117" s="553"/>
      <c r="E117" s="470"/>
      <c r="F117" s="550" t="e">
        <f t="shared" si="19"/>
        <v>#DIV/0!</v>
      </c>
      <c r="G117" s="527">
        <f>'норм водоотв  ЦО (5-1)'!I112</f>
        <v>0</v>
      </c>
      <c r="H117" s="287">
        <f>ROUND(D117*G117,3)</f>
        <v>0</v>
      </c>
      <c r="I117" s="287">
        <f>ROUND(E117*G117,3)</f>
        <v>0</v>
      </c>
      <c r="J117" s="553"/>
      <c r="K117" s="470"/>
      <c r="L117" s="551" t="e">
        <f t="shared" si="20"/>
        <v>#DIV/0!</v>
      </c>
      <c r="M117" s="527">
        <f>'норм водоотв  ЦО (5-1)'!N112</f>
        <v>0</v>
      </c>
      <c r="N117" s="287">
        <f>ROUND(J117*M117,3)</f>
        <v>0</v>
      </c>
      <c r="O117" s="287">
        <f>ROUND(K117*M117,3)</f>
        <v>0</v>
      </c>
    </row>
    <row r="118" spans="1:15" s="473" customFormat="1" ht="12.75">
      <c r="A118" s="554"/>
      <c r="B118" s="468">
        <f>'норм водоотв  ЦО (5-1)'!B113</f>
        <v>0</v>
      </c>
      <c r="C118" s="468">
        <f>'норм водоотв  ЦО (5-1)'!C113</f>
        <v>0</v>
      </c>
      <c r="D118" s="552"/>
      <c r="E118" s="470"/>
      <c r="F118" s="550" t="e">
        <f t="shared" si="19"/>
        <v>#DIV/0!</v>
      </c>
      <c r="G118" s="527">
        <f>'норм водоотв  ЦО (5-1)'!I113</f>
        <v>0</v>
      </c>
      <c r="H118" s="287">
        <f>ROUND(D118*G118,3)</f>
        <v>0</v>
      </c>
      <c r="I118" s="287">
        <f>ROUND(E118*G118,3)</f>
        <v>0</v>
      </c>
      <c r="J118" s="552"/>
      <c r="K118" s="470"/>
      <c r="L118" s="551" t="e">
        <f t="shared" si="20"/>
        <v>#DIV/0!</v>
      </c>
      <c r="M118" s="527">
        <f>'норм водоотв  ЦО (5-1)'!N113</f>
        <v>0</v>
      </c>
      <c r="N118" s="287">
        <f>ROUND(J118*M118,3)</f>
        <v>0</v>
      </c>
      <c r="O118" s="287">
        <f>ROUND(K118*M118,3)</f>
        <v>0</v>
      </c>
    </row>
    <row r="119" spans="1:15" s="473" customFormat="1" ht="12.75">
      <c r="A119" s="234"/>
      <c r="B119" s="468">
        <f>'норм водоотв  ЦО (5-1)'!B114</f>
        <v>0</v>
      </c>
      <c r="C119" s="468">
        <f>'норм водоотв  ЦО (5-1)'!C114</f>
        <v>0</v>
      </c>
      <c r="D119" s="284"/>
      <c r="E119" s="470"/>
      <c r="F119" s="550" t="e">
        <f t="shared" si="19"/>
        <v>#DIV/0!</v>
      </c>
      <c r="G119" s="527"/>
      <c r="H119" s="287"/>
      <c r="I119" s="287"/>
      <c r="J119" s="284"/>
      <c r="K119" s="470"/>
      <c r="L119" s="551" t="e">
        <f t="shared" si="20"/>
        <v>#DIV/0!</v>
      </c>
      <c r="M119" s="527"/>
      <c r="N119" s="287"/>
      <c r="O119" s="287"/>
    </row>
    <row r="120" spans="1:15" s="473" customFormat="1" ht="12.75">
      <c r="A120" s="234"/>
      <c r="B120" s="468"/>
      <c r="C120" s="468"/>
      <c r="D120" s="552"/>
      <c r="E120" s="470"/>
      <c r="F120" s="550" t="e">
        <f t="shared" si="19"/>
        <v>#DIV/0!</v>
      </c>
      <c r="G120" s="527"/>
      <c r="H120" s="287"/>
      <c r="I120" s="287"/>
      <c r="J120" s="552"/>
      <c r="K120" s="470"/>
      <c r="L120" s="551" t="e">
        <f t="shared" si="20"/>
        <v>#DIV/0!</v>
      </c>
      <c r="M120" s="527"/>
      <c r="N120" s="287"/>
      <c r="O120" s="287"/>
    </row>
    <row r="121" spans="1:15" s="348" customFormat="1" ht="30" customHeight="1">
      <c r="A121" s="476"/>
      <c r="B121" s="950" t="s">
        <v>86</v>
      </c>
      <c r="C121" s="950"/>
      <c r="D121" s="555">
        <f>ROUND(H121/G121,6)</f>
        <v>69.550053</v>
      </c>
      <c r="E121" s="555">
        <f>ROUND(I121/G121,6)</f>
        <v>69.550053</v>
      </c>
      <c r="F121" s="285">
        <f t="shared" si="19"/>
        <v>100</v>
      </c>
      <c r="G121" s="556">
        <f>SUM(G114:G120)</f>
        <v>6.7808</v>
      </c>
      <c r="H121" s="556">
        <f>SUM(H114:H120)</f>
        <v>471.605</v>
      </c>
      <c r="I121" s="556">
        <f>SUM(I114:I120)</f>
        <v>471.605</v>
      </c>
      <c r="J121" s="557">
        <f>ROUND(N121/M121,6)</f>
        <v>72.140013</v>
      </c>
      <c r="K121" s="557">
        <f>ROUND(O121/M121,6)</f>
        <v>72.140013</v>
      </c>
      <c r="L121" s="285">
        <f t="shared" si="20"/>
        <v>100</v>
      </c>
      <c r="M121" s="556">
        <f>SUM(M114:M120)</f>
        <v>6.7808</v>
      </c>
      <c r="N121" s="556">
        <f>SUM(N114:N120)</f>
        <v>489.16700000000003</v>
      </c>
      <c r="O121" s="556">
        <f>SUM(O114:O120)</f>
        <v>489.16700000000003</v>
      </c>
    </row>
    <row r="122" spans="1:11" s="460" customFormat="1" ht="25.5">
      <c r="A122" s="489"/>
      <c r="B122" s="206"/>
      <c r="C122" s="558" t="s">
        <v>300</v>
      </c>
      <c r="D122" s="559" t="s">
        <v>301</v>
      </c>
      <c r="E122" s="559" t="s">
        <v>302</v>
      </c>
      <c r="F122" s="560"/>
      <c r="J122" s="559" t="s">
        <v>303</v>
      </c>
      <c r="K122" s="559" t="s">
        <v>304</v>
      </c>
    </row>
    <row r="123" spans="1:11" s="460" customFormat="1" ht="15.75">
      <c r="A123" s="489"/>
      <c r="B123" s="206"/>
      <c r="C123" s="558"/>
      <c r="D123" s="561"/>
      <c r="E123" s="561"/>
      <c r="F123" s="560"/>
      <c r="J123" s="561"/>
      <c r="K123" s="561"/>
    </row>
    <row r="124" s="289" customFormat="1" ht="12.75"/>
    <row r="125" spans="2:9" s="494" customFormat="1" ht="15">
      <c r="B125" s="562" t="s">
        <v>247</v>
      </c>
      <c r="D125" s="454"/>
      <c r="E125" s="454"/>
      <c r="F125" s="454"/>
      <c r="G125" s="454"/>
      <c r="H125" s="454"/>
      <c r="I125" s="454"/>
    </row>
    <row r="126" s="289" customFormat="1" ht="12.75"/>
    <row r="127" spans="1:15" s="460" customFormat="1" ht="34.5" customHeight="1">
      <c r="A127" s="889" t="s">
        <v>105</v>
      </c>
      <c r="B127" s="952" t="s">
        <v>291</v>
      </c>
      <c r="C127" s="889" t="s">
        <v>107</v>
      </c>
      <c r="D127" s="898" t="s">
        <v>162</v>
      </c>
      <c r="E127" s="898"/>
      <c r="F127" s="898"/>
      <c r="G127" s="898"/>
      <c r="H127" s="898"/>
      <c r="I127" s="898"/>
      <c r="J127" s="957" t="s">
        <v>431</v>
      </c>
      <c r="K127" s="957"/>
      <c r="L127" s="957"/>
      <c r="M127" s="957"/>
      <c r="N127" s="957"/>
      <c r="O127" s="957"/>
    </row>
    <row r="128" spans="1:15" s="460" customFormat="1" ht="61.5" customHeight="1">
      <c r="A128" s="889"/>
      <c r="B128" s="952"/>
      <c r="C128" s="889"/>
      <c r="D128" s="955" t="s">
        <v>292</v>
      </c>
      <c r="E128" s="955" t="s">
        <v>293</v>
      </c>
      <c r="F128" s="896" t="s">
        <v>140</v>
      </c>
      <c r="G128" s="956" t="s">
        <v>305</v>
      </c>
      <c r="H128" s="897" t="s">
        <v>15</v>
      </c>
      <c r="I128" s="897"/>
      <c r="J128" s="955" t="s">
        <v>292</v>
      </c>
      <c r="K128" s="955" t="s">
        <v>293</v>
      </c>
      <c r="L128" s="896" t="s">
        <v>263</v>
      </c>
      <c r="M128" s="956" t="s">
        <v>306</v>
      </c>
      <c r="N128" s="897" t="s">
        <v>15</v>
      </c>
      <c r="O128" s="897"/>
    </row>
    <row r="129" spans="1:15" s="464" customFormat="1" ht="120.75" customHeight="1">
      <c r="A129" s="889"/>
      <c r="B129" s="952"/>
      <c r="C129" s="889"/>
      <c r="D129" s="955"/>
      <c r="E129" s="955"/>
      <c r="F129" s="896"/>
      <c r="G129" s="956"/>
      <c r="H129" s="546" t="s">
        <v>296</v>
      </c>
      <c r="I129" s="277" t="s">
        <v>307</v>
      </c>
      <c r="J129" s="955"/>
      <c r="K129" s="955"/>
      <c r="L129" s="896"/>
      <c r="M129" s="956"/>
      <c r="N129" s="546" t="s">
        <v>298</v>
      </c>
      <c r="O129" s="547" t="s">
        <v>299</v>
      </c>
    </row>
    <row r="130" spans="1:15" s="549" customFormat="1" ht="10.5">
      <c r="A130" s="548">
        <v>1</v>
      </c>
      <c r="B130" s="351">
        <f aca="true" t="shared" si="21" ref="B130:O130">A130+1</f>
        <v>2</v>
      </c>
      <c r="C130" s="351">
        <f t="shared" si="21"/>
        <v>3</v>
      </c>
      <c r="D130" s="351">
        <f t="shared" si="21"/>
        <v>4</v>
      </c>
      <c r="E130" s="351">
        <f t="shared" si="21"/>
        <v>5</v>
      </c>
      <c r="F130" s="351">
        <f t="shared" si="21"/>
        <v>6</v>
      </c>
      <c r="G130" s="548">
        <f t="shared" si="21"/>
        <v>7</v>
      </c>
      <c r="H130" s="548">
        <f t="shared" si="21"/>
        <v>8</v>
      </c>
      <c r="I130" s="548">
        <f t="shared" si="21"/>
        <v>9</v>
      </c>
      <c r="J130" s="351">
        <f t="shared" si="21"/>
        <v>10</v>
      </c>
      <c r="K130" s="351">
        <f t="shared" si="21"/>
        <v>11</v>
      </c>
      <c r="L130" s="351">
        <f t="shared" si="21"/>
        <v>12</v>
      </c>
      <c r="M130" s="548">
        <f t="shared" si="21"/>
        <v>13</v>
      </c>
      <c r="N130" s="548">
        <f t="shared" si="21"/>
        <v>14</v>
      </c>
      <c r="O130" s="548">
        <f t="shared" si="21"/>
        <v>15</v>
      </c>
    </row>
    <row r="131" spans="1:15" s="414" customFormat="1" ht="12.75">
      <c r="A131" s="468"/>
      <c r="B131" s="468">
        <f>'норм водоотв  ЦО (5-1)'!B126</f>
        <v>0</v>
      </c>
      <c r="C131" s="468">
        <f>'норм водоотв  ЦО (5-1)'!C126</f>
        <v>0</v>
      </c>
      <c r="D131" s="470"/>
      <c r="E131" s="470"/>
      <c r="F131" s="550" t="e">
        <f aca="true" t="shared" si="22" ref="F131:F138">ROUND(E131/D131*100,1)</f>
        <v>#DIV/0!</v>
      </c>
      <c r="G131" s="563">
        <f>'норм водоотв  ЦО (5-1)'!I126</f>
        <v>0</v>
      </c>
      <c r="H131" s="564">
        <f>ROUND(D131*G131,3)</f>
        <v>0</v>
      </c>
      <c r="I131" s="564">
        <f>ROUND(E131*G131,3)</f>
        <v>0</v>
      </c>
      <c r="J131" s="565"/>
      <c r="K131" s="565"/>
      <c r="L131" s="566" t="e">
        <f aca="true" t="shared" si="23" ref="L131:L138">ROUND(K131/J131*100,1)</f>
        <v>#DIV/0!</v>
      </c>
      <c r="M131" s="563">
        <f>'норм водоотв  ЦО (5-1)'!N126</f>
        <v>0</v>
      </c>
      <c r="N131" s="564">
        <f>ROUND(J131*M131,3)</f>
        <v>0</v>
      </c>
      <c r="O131" s="564">
        <f>ROUND(K131*M131,3)</f>
        <v>0</v>
      </c>
    </row>
    <row r="132" spans="1:15" s="414" customFormat="1" ht="14.25" customHeight="1">
      <c r="A132" s="468"/>
      <c r="B132" s="468">
        <f>'норм водоотв  ЦО (5-1)'!B127</f>
        <v>0</v>
      </c>
      <c r="C132" s="468">
        <f>'норм водоотв  ЦО (5-1)'!C127</f>
        <v>0</v>
      </c>
      <c r="D132" s="470"/>
      <c r="E132" s="470"/>
      <c r="F132" s="550" t="e">
        <f t="shared" si="22"/>
        <v>#DIV/0!</v>
      </c>
      <c r="G132" s="563">
        <f>'норм водоотв  ЦО (5-1)'!I127</f>
        <v>0</v>
      </c>
      <c r="H132" s="564">
        <f>ROUND(D132*G132,3)</f>
        <v>0</v>
      </c>
      <c r="I132" s="564">
        <f>ROUND(E132*G132,3)</f>
        <v>0</v>
      </c>
      <c r="J132" s="565"/>
      <c r="K132" s="565"/>
      <c r="L132" s="566" t="e">
        <f t="shared" si="23"/>
        <v>#DIV/0!</v>
      </c>
      <c r="M132" s="563">
        <f>'норм водоотв  ЦО (5-1)'!N127</f>
        <v>0</v>
      </c>
      <c r="N132" s="564">
        <f>ROUND(J132*M132,3)</f>
        <v>0</v>
      </c>
      <c r="O132" s="564">
        <f>ROUND(K132*M132,3)</f>
        <v>0</v>
      </c>
    </row>
    <row r="133" spans="1:15" s="473" customFormat="1" ht="12.75">
      <c r="A133" s="234"/>
      <c r="B133" s="468">
        <f>'норм водоотв  ЦО (5-1)'!B128</f>
        <v>0</v>
      </c>
      <c r="C133" s="468">
        <f>'норм водоотв  ЦО (5-1)'!C128</f>
        <v>0</v>
      </c>
      <c r="D133" s="552"/>
      <c r="E133" s="470"/>
      <c r="F133" s="550" t="e">
        <f t="shared" si="22"/>
        <v>#DIV/0!</v>
      </c>
      <c r="G133" s="563">
        <f>'норм водоотв  ЦО (5-1)'!I128</f>
        <v>0</v>
      </c>
      <c r="H133" s="564">
        <f>ROUND(D133*G133,3)</f>
        <v>0</v>
      </c>
      <c r="I133" s="564">
        <f>ROUND(E133*G133,3)</f>
        <v>0</v>
      </c>
      <c r="J133" s="567"/>
      <c r="K133" s="565"/>
      <c r="L133" s="566" t="e">
        <f t="shared" si="23"/>
        <v>#DIV/0!</v>
      </c>
      <c r="M133" s="563">
        <f>'норм водоотв  ЦО (5-1)'!N128</f>
        <v>0</v>
      </c>
      <c r="N133" s="564">
        <f>ROUND(J133*M133,3)</f>
        <v>0</v>
      </c>
      <c r="O133" s="564">
        <f>ROUND(K133*M133,3)</f>
        <v>0</v>
      </c>
    </row>
    <row r="134" spans="1:15" s="473" customFormat="1" ht="12.75">
      <c r="A134" s="234"/>
      <c r="B134" s="468">
        <f>'норм водоотв  ЦО (5-1)'!B129</f>
        <v>0</v>
      </c>
      <c r="C134" s="468">
        <f>'норм водоотв  ЦО (5-1)'!C129</f>
        <v>0</v>
      </c>
      <c r="D134" s="553"/>
      <c r="E134" s="470"/>
      <c r="F134" s="550" t="e">
        <f t="shared" si="22"/>
        <v>#DIV/0!</v>
      </c>
      <c r="G134" s="563">
        <f>'норм водоотв  ЦО (5-1)'!I129</f>
        <v>0</v>
      </c>
      <c r="H134" s="564">
        <f>ROUND(D134*G134,3)</f>
        <v>0</v>
      </c>
      <c r="I134" s="564">
        <f>ROUND(E134*G134,3)</f>
        <v>0</v>
      </c>
      <c r="J134" s="568"/>
      <c r="K134" s="565"/>
      <c r="L134" s="566" t="e">
        <f t="shared" si="23"/>
        <v>#DIV/0!</v>
      </c>
      <c r="M134" s="563">
        <f>'норм водоотв  ЦО (5-1)'!N129</f>
        <v>0</v>
      </c>
      <c r="N134" s="564">
        <f>ROUND(J134*M134,3)</f>
        <v>0</v>
      </c>
      <c r="O134" s="564">
        <f>ROUND(K134*M134,3)</f>
        <v>0</v>
      </c>
    </row>
    <row r="135" spans="1:15" s="473" customFormat="1" ht="12.75">
      <c r="A135" s="554"/>
      <c r="B135" s="468">
        <f>'норм водоотв  ЦО (5-1)'!B130</f>
        <v>0</v>
      </c>
      <c r="C135" s="468">
        <f>'норм водоотв  ЦО (5-1)'!C130</f>
        <v>0</v>
      </c>
      <c r="D135" s="552"/>
      <c r="E135" s="470"/>
      <c r="F135" s="550" t="e">
        <f t="shared" si="22"/>
        <v>#DIV/0!</v>
      </c>
      <c r="G135" s="563">
        <f>'норм водоотв  ЦО (5-1)'!I130</f>
        <v>0</v>
      </c>
      <c r="H135" s="564">
        <f>ROUND(D135*G135,3)</f>
        <v>0</v>
      </c>
      <c r="I135" s="564">
        <f>ROUND(E135*G135,3)</f>
        <v>0</v>
      </c>
      <c r="J135" s="567"/>
      <c r="K135" s="565"/>
      <c r="L135" s="566" t="e">
        <f t="shared" si="23"/>
        <v>#DIV/0!</v>
      </c>
      <c r="M135" s="563">
        <f>'норм водоотв  ЦО (5-1)'!N130</f>
        <v>0</v>
      </c>
      <c r="N135" s="564">
        <f>ROUND(J135*M135,3)</f>
        <v>0</v>
      </c>
      <c r="O135" s="564">
        <f>ROUND(K135*M135,3)</f>
        <v>0</v>
      </c>
    </row>
    <row r="136" spans="1:15" s="473" customFormat="1" ht="12.75">
      <c r="A136" s="234"/>
      <c r="B136" s="468">
        <f>'норм водоотв  ЦО (5-1)'!B131</f>
        <v>0</v>
      </c>
      <c r="C136" s="468">
        <f>'норм водоотв  ЦО (5-1)'!C131</f>
        <v>0</v>
      </c>
      <c r="D136" s="284"/>
      <c r="E136" s="470"/>
      <c r="F136" s="550" t="e">
        <f t="shared" si="22"/>
        <v>#DIV/0!</v>
      </c>
      <c r="G136" s="563">
        <f>'норм водоотв  ЦО (5-1)'!I131</f>
        <v>0</v>
      </c>
      <c r="H136" s="564"/>
      <c r="I136" s="564"/>
      <c r="J136" s="569"/>
      <c r="K136" s="565"/>
      <c r="L136" s="566" t="e">
        <f t="shared" si="23"/>
        <v>#DIV/0!</v>
      </c>
      <c r="M136" s="563">
        <f>'норм водоотв  ЦО (5-1)'!N131</f>
        <v>0</v>
      </c>
      <c r="N136" s="564"/>
      <c r="O136" s="564"/>
    </row>
    <row r="137" spans="1:15" s="473" customFormat="1" ht="12.75">
      <c r="A137" s="234"/>
      <c r="B137" s="468"/>
      <c r="C137" s="468"/>
      <c r="D137" s="552"/>
      <c r="E137" s="470"/>
      <c r="F137" s="550" t="e">
        <f t="shared" si="22"/>
        <v>#DIV/0!</v>
      </c>
      <c r="G137" s="527"/>
      <c r="H137" s="287"/>
      <c r="I137" s="287"/>
      <c r="J137" s="552"/>
      <c r="K137" s="470"/>
      <c r="L137" s="551" t="e">
        <f t="shared" si="23"/>
        <v>#DIV/0!</v>
      </c>
      <c r="M137" s="527"/>
      <c r="N137" s="287"/>
      <c r="O137" s="287"/>
    </row>
    <row r="138" spans="1:15" s="348" customFormat="1" ht="30" customHeight="1">
      <c r="A138" s="476"/>
      <c r="B138" s="950" t="s">
        <v>86</v>
      </c>
      <c r="C138" s="950"/>
      <c r="D138" s="570" t="e">
        <f>ROUND(H138/G138,6)</f>
        <v>#DIV/0!</v>
      </c>
      <c r="E138" s="570" t="e">
        <f>ROUND(I138/G138,6)</f>
        <v>#DIV/0!</v>
      </c>
      <c r="F138" s="285" t="e">
        <f t="shared" si="22"/>
        <v>#DIV/0!</v>
      </c>
      <c r="G138" s="556">
        <f>SUM(G131:G137)</f>
        <v>0</v>
      </c>
      <c r="H138" s="556">
        <f>SUM(H131:H137)</f>
        <v>0</v>
      </c>
      <c r="I138" s="556">
        <f>SUM(I131:I137)</f>
        <v>0</v>
      </c>
      <c r="J138" s="557" t="e">
        <f>ROUND(N138/M138,6)</f>
        <v>#DIV/0!</v>
      </c>
      <c r="K138" s="557" t="e">
        <f>ROUND(O138/M138,6)</f>
        <v>#DIV/0!</v>
      </c>
      <c r="L138" s="285" t="e">
        <f t="shared" si="23"/>
        <v>#DIV/0!</v>
      </c>
      <c r="M138" s="556">
        <f>SUM(M131:M137)</f>
        <v>0</v>
      </c>
      <c r="N138" s="556">
        <f>SUM(N131:N137)</f>
        <v>0</v>
      </c>
      <c r="O138" s="556">
        <f>SUM(O131:O137)</f>
        <v>0</v>
      </c>
    </row>
    <row r="139" spans="1:11" s="460" customFormat="1" ht="25.5">
      <c r="A139" s="489"/>
      <c r="B139" s="206"/>
      <c r="C139" s="558" t="s">
        <v>300</v>
      </c>
      <c r="D139" s="559" t="s">
        <v>301</v>
      </c>
      <c r="E139" s="559" t="s">
        <v>302</v>
      </c>
      <c r="F139" s="560"/>
      <c r="J139" s="559" t="s">
        <v>303</v>
      </c>
      <c r="K139" s="559" t="s">
        <v>304</v>
      </c>
    </row>
    <row r="141" spans="2:6" s="208" customFormat="1" ht="18.75">
      <c r="B141" s="802" t="s">
        <v>422</v>
      </c>
      <c r="C141" s="803"/>
      <c r="D141" s="803" t="s">
        <v>423</v>
      </c>
      <c r="E141" s="809"/>
      <c r="F141" s="804"/>
    </row>
    <row r="142" spans="2:6" s="208" customFormat="1" ht="18.75">
      <c r="B142" s="802"/>
      <c r="C142" s="802"/>
      <c r="D142" s="802"/>
      <c r="E142" s="802"/>
      <c r="F142" s="804" t="s">
        <v>97</v>
      </c>
    </row>
    <row r="143" spans="2:6" s="208" customFormat="1" ht="18.75">
      <c r="B143" s="802" t="s">
        <v>98</v>
      </c>
      <c r="C143" s="803" t="s">
        <v>424</v>
      </c>
      <c r="D143" s="803"/>
      <c r="E143" s="803"/>
      <c r="F143" s="804"/>
    </row>
    <row r="144" spans="2:6" s="208" customFormat="1" ht="18.75">
      <c r="B144" s="802" t="s">
        <v>421</v>
      </c>
      <c r="C144" s="808" t="s">
        <v>425</v>
      </c>
      <c r="D144" s="807"/>
      <c r="E144" s="807"/>
      <c r="F144" s="804"/>
    </row>
  </sheetData>
  <sheetProtection selectLockedCells="1" selectUnlockedCells="1"/>
  <mergeCells count="135">
    <mergeCell ref="K1:L1"/>
    <mergeCell ref="B2:O2"/>
    <mergeCell ref="B3:O3"/>
    <mergeCell ref="B5:C5"/>
    <mergeCell ref="N9:O9"/>
    <mergeCell ref="A8:A10"/>
    <mergeCell ref="B8:B10"/>
    <mergeCell ref="C8:C10"/>
    <mergeCell ref="D8:I8"/>
    <mergeCell ref="J8:O8"/>
    <mergeCell ref="D9:D10"/>
    <mergeCell ref="J25:O25"/>
    <mergeCell ref="D26:D27"/>
    <mergeCell ref="E9:E10"/>
    <mergeCell ref="F9:F10"/>
    <mergeCell ref="G9:G10"/>
    <mergeCell ref="H9:I9"/>
    <mergeCell ref="J9:J10"/>
    <mergeCell ref="K9:K10"/>
    <mergeCell ref="L9:L10"/>
    <mergeCell ref="M9:M10"/>
    <mergeCell ref="B19:C19"/>
    <mergeCell ref="B36:C36"/>
    <mergeCell ref="G26:G27"/>
    <mergeCell ref="H26:I26"/>
    <mergeCell ref="A25:A27"/>
    <mergeCell ref="B25:B27"/>
    <mergeCell ref="C25:C27"/>
    <mergeCell ref="D25:I25"/>
    <mergeCell ref="J26:J27"/>
    <mergeCell ref="L26:L27"/>
    <mergeCell ref="M26:M27"/>
    <mergeCell ref="D42:I42"/>
    <mergeCell ref="J42:O42"/>
    <mergeCell ref="E26:E27"/>
    <mergeCell ref="F26:F27"/>
    <mergeCell ref="N26:O26"/>
    <mergeCell ref="K26:K27"/>
    <mergeCell ref="M43:M44"/>
    <mergeCell ref="N43:O43"/>
    <mergeCell ref="K43:K44"/>
    <mergeCell ref="L43:L44"/>
    <mergeCell ref="B39:C39"/>
    <mergeCell ref="A42:A44"/>
    <mergeCell ref="B42:B44"/>
    <mergeCell ref="C42:C44"/>
    <mergeCell ref="D43:D44"/>
    <mergeCell ref="E43:E44"/>
    <mergeCell ref="B53:C53"/>
    <mergeCell ref="A59:A61"/>
    <mergeCell ref="B59:B61"/>
    <mergeCell ref="C59:C61"/>
    <mergeCell ref="H43:I43"/>
    <mergeCell ref="J43:J44"/>
    <mergeCell ref="F43:F44"/>
    <mergeCell ref="G43:G44"/>
    <mergeCell ref="D59:I59"/>
    <mergeCell ref="J59:O59"/>
    <mergeCell ref="D60:D61"/>
    <mergeCell ref="E60:E61"/>
    <mergeCell ref="N60:O60"/>
    <mergeCell ref="F60:F61"/>
    <mergeCell ref="G60:G61"/>
    <mergeCell ref="H60:I60"/>
    <mergeCell ref="J60:J61"/>
    <mergeCell ref="A75:A77"/>
    <mergeCell ref="B75:B77"/>
    <mergeCell ref="C75:C77"/>
    <mergeCell ref="K60:K61"/>
    <mergeCell ref="D75:I75"/>
    <mergeCell ref="J75:O75"/>
    <mergeCell ref="D76:D77"/>
    <mergeCell ref="E76:E77"/>
    <mergeCell ref="L60:L61"/>
    <mergeCell ref="M60:M61"/>
    <mergeCell ref="B70:C70"/>
    <mergeCell ref="B72:C72"/>
    <mergeCell ref="F76:F77"/>
    <mergeCell ref="G76:G77"/>
    <mergeCell ref="H76:I76"/>
    <mergeCell ref="J76:J77"/>
    <mergeCell ref="B86:C86"/>
    <mergeCell ref="A92:A94"/>
    <mergeCell ref="B92:B94"/>
    <mergeCell ref="C92:C94"/>
    <mergeCell ref="D92:I92"/>
    <mergeCell ref="J92:O92"/>
    <mergeCell ref="D93:D94"/>
    <mergeCell ref="E93:E94"/>
    <mergeCell ref="N93:O93"/>
    <mergeCell ref="F93:F94"/>
    <mergeCell ref="G93:G94"/>
    <mergeCell ref="H93:I93"/>
    <mergeCell ref="J93:J94"/>
    <mergeCell ref="M76:M77"/>
    <mergeCell ref="N76:O76"/>
    <mergeCell ref="K76:K77"/>
    <mergeCell ref="L76:L77"/>
    <mergeCell ref="A110:A112"/>
    <mergeCell ref="B110:B112"/>
    <mergeCell ref="C110:C112"/>
    <mergeCell ref="K93:K94"/>
    <mergeCell ref="D110:I110"/>
    <mergeCell ref="J110:O110"/>
    <mergeCell ref="D111:D112"/>
    <mergeCell ref="E111:E112"/>
    <mergeCell ref="L93:L94"/>
    <mergeCell ref="M93:M94"/>
    <mergeCell ref="K111:K112"/>
    <mergeCell ref="L111:L112"/>
    <mergeCell ref="B103:C103"/>
    <mergeCell ref="B106:C106"/>
    <mergeCell ref="F111:F112"/>
    <mergeCell ref="G111:G112"/>
    <mergeCell ref="H111:I111"/>
    <mergeCell ref="J111:J112"/>
    <mergeCell ref="M111:M112"/>
    <mergeCell ref="N111:O111"/>
    <mergeCell ref="B121:C121"/>
    <mergeCell ref="A127:A129"/>
    <mergeCell ref="B127:B129"/>
    <mergeCell ref="C127:C129"/>
    <mergeCell ref="D127:I127"/>
    <mergeCell ref="J127:O127"/>
    <mergeCell ref="D128:D129"/>
    <mergeCell ref="E128:E129"/>
    <mergeCell ref="B138:C138"/>
    <mergeCell ref="K128:K129"/>
    <mergeCell ref="L128:L129"/>
    <mergeCell ref="M128:M129"/>
    <mergeCell ref="N128:O128"/>
    <mergeCell ref="F128:F129"/>
    <mergeCell ref="G128:G129"/>
    <mergeCell ref="H128:I128"/>
    <mergeCell ref="J128:J129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48" r:id="rId1"/>
  <rowBreaks count="3" manualBreakCount="3">
    <brk id="37" max="255" man="1"/>
    <brk id="71" max="255" man="1"/>
    <brk id="10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77"/>
  <sheetViews>
    <sheetView view="pageBreakPreview" zoomScale="86" zoomScaleSheetLayoutView="86" zoomScalePageLayoutView="0" workbookViewId="0" topLeftCell="A31">
      <selection activeCell="T103" sqref="T103"/>
    </sheetView>
  </sheetViews>
  <sheetFormatPr defaultColWidth="9.00390625" defaultRowHeight="12.75"/>
  <cols>
    <col min="1" max="1" width="2.625" style="229" customWidth="1"/>
    <col min="2" max="2" width="38.875" style="0" customWidth="1"/>
    <col min="3" max="3" width="12.625" style="0" customWidth="1"/>
    <col min="5" max="5" width="11.75390625" style="0" customWidth="1"/>
    <col min="6" max="6" width="13.625" style="0" customWidth="1"/>
    <col min="7" max="8" width="12.00390625" style="0" customWidth="1"/>
    <col min="9" max="9" width="11.375" style="0" customWidth="1"/>
    <col min="10" max="10" width="8.00390625" style="0" customWidth="1"/>
    <col min="11" max="11" width="10.625" style="0" customWidth="1"/>
    <col min="12" max="13" width="9.625" style="0" customWidth="1"/>
    <col min="14" max="14" width="8.875" style="0" customWidth="1"/>
    <col min="15" max="15" width="8.125" style="0" customWidth="1"/>
  </cols>
  <sheetData>
    <row r="1" spans="1:8" ht="15">
      <c r="A1" s="964" t="s">
        <v>308</v>
      </c>
      <c r="B1" s="964"/>
      <c r="C1" s="964"/>
      <c r="D1" s="964"/>
      <c r="E1" s="964"/>
      <c r="F1" s="964"/>
      <c r="G1" s="964"/>
      <c r="H1" s="964"/>
    </row>
    <row r="2" ht="12.75">
      <c r="E2" s="229" t="s">
        <v>309</v>
      </c>
    </row>
    <row r="3" spans="1:5" s="574" customFormat="1" ht="25.5">
      <c r="A3" s="571" t="s">
        <v>310</v>
      </c>
      <c r="B3" s="572" t="s">
        <v>311</v>
      </c>
      <c r="C3" s="573">
        <v>295</v>
      </c>
      <c r="D3" s="574" t="s">
        <v>34</v>
      </c>
      <c r="E3" s="574">
        <v>1</v>
      </c>
    </row>
    <row r="4" spans="2:14" ht="15.75">
      <c r="B4" t="s">
        <v>312</v>
      </c>
      <c r="C4" s="575">
        <v>41</v>
      </c>
      <c r="D4" t="s">
        <v>34</v>
      </c>
      <c r="E4">
        <f>ROUND(C4/C3,3)</f>
        <v>0.139</v>
      </c>
      <c r="I4" s="576"/>
      <c r="J4" s="577" t="s">
        <v>313</v>
      </c>
      <c r="K4" s="460"/>
      <c r="L4" s="460"/>
      <c r="M4" s="460"/>
      <c r="N4" s="460"/>
    </row>
    <row r="5" spans="2:14" ht="15">
      <c r="B5" s="578" t="s">
        <v>314</v>
      </c>
      <c r="C5" s="575">
        <v>123</v>
      </c>
      <c r="D5" t="s">
        <v>34</v>
      </c>
      <c r="E5">
        <f>ROUND(C5/C3,3)</f>
        <v>0.417</v>
      </c>
      <c r="I5" s="460"/>
      <c r="J5" s="579"/>
      <c r="K5" s="460"/>
      <c r="L5" s="460"/>
      <c r="M5" s="460"/>
      <c r="N5" s="460"/>
    </row>
    <row r="6" spans="2:14" ht="15.75">
      <c r="B6" s="578" t="s">
        <v>315</v>
      </c>
      <c r="C6" s="575">
        <v>115</v>
      </c>
      <c r="D6" t="s">
        <v>34</v>
      </c>
      <c r="E6">
        <f>ROUND(C6/C3,3)</f>
        <v>0.39</v>
      </c>
      <c r="I6" s="580"/>
      <c r="J6" s="577" t="s">
        <v>316</v>
      </c>
      <c r="K6" s="460"/>
      <c r="L6" s="460"/>
      <c r="M6" s="460"/>
      <c r="N6" s="460"/>
    </row>
    <row r="7" spans="2:5" ht="12.75">
      <c r="B7" s="578" t="s">
        <v>317</v>
      </c>
      <c r="C7" s="575">
        <v>16</v>
      </c>
      <c r="D7" t="s">
        <v>34</v>
      </c>
      <c r="E7">
        <f>E3-E4-E5-E6</f>
        <v>0.05399999999999999</v>
      </c>
    </row>
    <row r="9" spans="1:8" s="574" customFormat="1" ht="38.25">
      <c r="A9" s="571" t="s">
        <v>318</v>
      </c>
      <c r="B9" s="581" t="s">
        <v>319</v>
      </c>
      <c r="C9" s="573">
        <v>23000</v>
      </c>
      <c r="D9" s="574" t="s">
        <v>176</v>
      </c>
      <c r="F9" s="582" t="s">
        <v>320</v>
      </c>
      <c r="G9" s="583">
        <f>ROUND(C3/C9*1000,1)</f>
        <v>12.8</v>
      </c>
      <c r="H9" s="574" t="s">
        <v>321</v>
      </c>
    </row>
    <row r="10" spans="2:4" ht="12.75">
      <c r="B10" t="s">
        <v>322</v>
      </c>
      <c r="C10" s="584">
        <f>ROUND(C4/G9*1000,0)</f>
        <v>3203</v>
      </c>
      <c r="D10" t="s">
        <v>176</v>
      </c>
    </row>
    <row r="11" spans="2:4" ht="12.75">
      <c r="B11" s="578" t="s">
        <v>323</v>
      </c>
      <c r="C11" s="584">
        <f>ROUND(C5/G9*1000,0)</f>
        <v>9609</v>
      </c>
      <c r="D11" t="s">
        <v>176</v>
      </c>
    </row>
    <row r="12" spans="2:4" ht="12.75">
      <c r="B12" s="578" t="s">
        <v>324</v>
      </c>
      <c r="C12" s="584">
        <f>ROUND(C6/G9*1000,0)</f>
        <v>8984</v>
      </c>
      <c r="D12" t="s">
        <v>176</v>
      </c>
    </row>
    <row r="13" spans="2:4" ht="12.75">
      <c r="B13" s="578" t="s">
        <v>325</v>
      </c>
      <c r="C13" s="584">
        <f>C9-C10-C11-C12</f>
        <v>1204</v>
      </c>
      <c r="D13" t="s">
        <v>176</v>
      </c>
    </row>
    <row r="15" spans="1:2" s="348" customFormat="1" ht="12.75">
      <c r="A15" s="585" t="s">
        <v>326</v>
      </c>
      <c r="B15" s="586" t="s">
        <v>327</v>
      </c>
    </row>
    <row r="16" spans="2:5" ht="12.75">
      <c r="B16" t="s">
        <v>322</v>
      </c>
      <c r="C16" s="575">
        <v>2</v>
      </c>
      <c r="D16" t="s">
        <v>328</v>
      </c>
      <c r="E16" s="587" t="s">
        <v>329</v>
      </c>
    </row>
    <row r="17" spans="2:5" ht="12.75">
      <c r="B17" s="578" t="s">
        <v>323</v>
      </c>
      <c r="C17" s="575">
        <v>3</v>
      </c>
      <c r="D17" t="s">
        <v>328</v>
      </c>
      <c r="E17" s="587" t="s">
        <v>329</v>
      </c>
    </row>
    <row r="18" spans="2:5" ht="12.75">
      <c r="B18" s="578" t="s">
        <v>324</v>
      </c>
      <c r="C18" s="575">
        <v>4</v>
      </c>
      <c r="D18" t="s">
        <v>328</v>
      </c>
      <c r="E18" s="587" t="s">
        <v>329</v>
      </c>
    </row>
    <row r="19" spans="2:5" ht="12.75">
      <c r="B19" s="578" t="s">
        <v>325</v>
      </c>
      <c r="C19" s="575">
        <v>4</v>
      </c>
      <c r="D19" t="s">
        <v>328</v>
      </c>
      <c r="E19" s="587" t="s">
        <v>329</v>
      </c>
    </row>
    <row r="20" ht="12.75">
      <c r="B20" s="578"/>
    </row>
    <row r="21" spans="2:6" ht="12.75">
      <c r="B21" s="588"/>
      <c r="E21" s="229" t="s">
        <v>330</v>
      </c>
      <c r="F21" s="229" t="s">
        <v>309</v>
      </c>
    </row>
    <row r="22" spans="1:6" s="348" customFormat="1" ht="12.75">
      <c r="A22" s="585" t="s">
        <v>331</v>
      </c>
      <c r="B22" s="348" t="s">
        <v>332</v>
      </c>
      <c r="C22" s="589">
        <f>C3</f>
        <v>295</v>
      </c>
      <c r="D22" s="348" t="s">
        <v>34</v>
      </c>
      <c r="E22" s="589">
        <f>C9</f>
        <v>23000</v>
      </c>
      <c r="F22" s="589">
        <v>1</v>
      </c>
    </row>
    <row r="23" spans="2:6" ht="12.75">
      <c r="B23" t="s">
        <v>333</v>
      </c>
      <c r="C23" s="575">
        <v>145</v>
      </c>
      <c r="D23" t="s">
        <v>34</v>
      </c>
      <c r="E23" s="584">
        <f>ROUND(C23/G9*1000,0)</f>
        <v>11328</v>
      </c>
      <c r="F23" s="584">
        <f>ROUND(E23/E22,3)</f>
        <v>0.493</v>
      </c>
    </row>
    <row r="24" spans="2:6" ht="12.75">
      <c r="B24" t="s">
        <v>334</v>
      </c>
      <c r="C24" s="575">
        <v>98</v>
      </c>
      <c r="D24" t="s">
        <v>34</v>
      </c>
      <c r="E24" s="584">
        <f>ROUND(C24/G9*1000,0)</f>
        <v>7656</v>
      </c>
      <c r="F24" s="584">
        <f>ROUND(E24/E22,3)</f>
        <v>0.333</v>
      </c>
    </row>
    <row r="25" spans="2:6" ht="12.75">
      <c r="B25" t="s">
        <v>335</v>
      </c>
      <c r="C25" s="584">
        <f>C22-C23-C24</f>
        <v>52</v>
      </c>
      <c r="D25" t="s">
        <v>34</v>
      </c>
      <c r="E25" s="584">
        <f>E22-E23-E24</f>
        <v>4016</v>
      </c>
      <c r="F25" s="584">
        <f>F22-F23-F24</f>
        <v>0.174</v>
      </c>
    </row>
    <row r="27" spans="1:4" s="574" customFormat="1" ht="25.5">
      <c r="A27" s="571" t="s">
        <v>336</v>
      </c>
      <c r="B27" s="581" t="s">
        <v>337</v>
      </c>
      <c r="C27" s="583">
        <f>C9</f>
        <v>23000</v>
      </c>
      <c r="D27" s="574" t="s">
        <v>176</v>
      </c>
    </row>
    <row r="28" spans="2:4" ht="12.75">
      <c r="B28" t="s">
        <v>322</v>
      </c>
      <c r="C28" s="584">
        <f>C10</f>
        <v>3203</v>
      </c>
      <c r="D28" t="s">
        <v>176</v>
      </c>
    </row>
    <row r="29" spans="2:5" ht="12.75">
      <c r="B29" s="590" t="s">
        <v>338</v>
      </c>
      <c r="C29" s="591">
        <f>ROUND(C28*$F$23,0)</f>
        <v>1579</v>
      </c>
      <c r="D29" s="592" t="s">
        <v>176</v>
      </c>
      <c r="E29" s="229" t="s">
        <v>339</v>
      </c>
    </row>
    <row r="30" spans="2:5" ht="12.75">
      <c r="B30" s="590" t="s">
        <v>340</v>
      </c>
      <c r="C30" s="591">
        <f>ROUND(C28*$F$24,0)</f>
        <v>1067</v>
      </c>
      <c r="D30" s="592" t="s">
        <v>176</v>
      </c>
      <c r="E30" s="965">
        <f>C30+C31</f>
        <v>1624</v>
      </c>
    </row>
    <row r="31" spans="2:5" ht="12.75">
      <c r="B31" s="590" t="s">
        <v>341</v>
      </c>
      <c r="C31" s="591">
        <f>C28-C29-C30</f>
        <v>557</v>
      </c>
      <c r="D31" s="592" t="s">
        <v>176</v>
      </c>
      <c r="E31" s="965"/>
    </row>
    <row r="32" spans="2:4" ht="12.75">
      <c r="B32" s="578" t="s">
        <v>323</v>
      </c>
      <c r="C32" s="584">
        <f>C11</f>
        <v>9609</v>
      </c>
      <c r="D32" t="s">
        <v>176</v>
      </c>
    </row>
    <row r="33" spans="2:5" ht="12.75">
      <c r="B33" s="590" t="s">
        <v>338</v>
      </c>
      <c r="C33" s="591">
        <f>ROUND(C32*$F$23,0)</f>
        <v>4737</v>
      </c>
      <c r="D33" s="592" t="s">
        <v>176</v>
      </c>
      <c r="E33" s="229" t="s">
        <v>339</v>
      </c>
    </row>
    <row r="34" spans="2:5" ht="12.75">
      <c r="B34" s="590" t="s">
        <v>340</v>
      </c>
      <c r="C34" s="591">
        <f>ROUND(C32*$F$24,0)</f>
        <v>3200</v>
      </c>
      <c r="D34" s="592" t="s">
        <v>176</v>
      </c>
      <c r="E34" s="965">
        <f>C34+C35</f>
        <v>4872</v>
      </c>
    </row>
    <row r="35" spans="2:5" ht="12.75">
      <c r="B35" s="590" t="s">
        <v>341</v>
      </c>
      <c r="C35" s="591">
        <f>C32-C33-C34</f>
        <v>1672</v>
      </c>
      <c r="D35" s="592" t="s">
        <v>176</v>
      </c>
      <c r="E35" s="965"/>
    </row>
    <row r="36" spans="2:4" ht="12.75">
      <c r="B36" s="578" t="s">
        <v>324</v>
      </c>
      <c r="C36" s="584">
        <f>C12</f>
        <v>8984</v>
      </c>
      <c r="D36" t="s">
        <v>176</v>
      </c>
    </row>
    <row r="37" spans="2:5" ht="12.75">
      <c r="B37" s="590" t="s">
        <v>338</v>
      </c>
      <c r="C37" s="591">
        <f>ROUND(C36*$F$23,0)</f>
        <v>4429</v>
      </c>
      <c r="D37" s="593" t="s">
        <v>176</v>
      </c>
      <c r="E37" s="229" t="s">
        <v>339</v>
      </c>
    </row>
    <row r="38" spans="2:5" ht="12.75">
      <c r="B38" s="590" t="s">
        <v>340</v>
      </c>
      <c r="C38" s="591">
        <f>ROUND(C36*$F$24,0)</f>
        <v>2992</v>
      </c>
      <c r="D38" s="593" t="s">
        <v>176</v>
      </c>
      <c r="E38" s="965">
        <f>C38+C39</f>
        <v>4555</v>
      </c>
    </row>
    <row r="39" spans="2:5" ht="12.75">
      <c r="B39" s="590" t="s">
        <v>341</v>
      </c>
      <c r="C39" s="591">
        <f>C36-C37-C38</f>
        <v>1563</v>
      </c>
      <c r="D39" s="593" t="s">
        <v>176</v>
      </c>
      <c r="E39" s="965"/>
    </row>
    <row r="40" spans="2:4" ht="12.75">
      <c r="B40" s="578" t="s">
        <v>325</v>
      </c>
      <c r="C40" s="584">
        <f>C27-C28-C32-C36</f>
        <v>1204</v>
      </c>
      <c r="D40" t="s">
        <v>176</v>
      </c>
    </row>
    <row r="41" spans="2:5" ht="12.75">
      <c r="B41" s="590" t="s">
        <v>338</v>
      </c>
      <c r="C41" s="591">
        <f>ROUND(C40*$F$23,0)</f>
        <v>594</v>
      </c>
      <c r="D41" s="593" t="s">
        <v>176</v>
      </c>
      <c r="E41" s="229" t="s">
        <v>339</v>
      </c>
    </row>
    <row r="42" spans="2:5" ht="12.75">
      <c r="B42" s="590" t="s">
        <v>340</v>
      </c>
      <c r="C42" s="591">
        <f>ROUND(C40*$F$24,0)</f>
        <v>401</v>
      </c>
      <c r="D42" s="593" t="s">
        <v>176</v>
      </c>
      <c r="E42" s="965">
        <f>C42+C43</f>
        <v>610</v>
      </c>
    </row>
    <row r="43" spans="2:5" ht="12.75">
      <c r="B43" s="590" t="s">
        <v>341</v>
      </c>
      <c r="C43" s="591">
        <f>C40-C41-C42</f>
        <v>209</v>
      </c>
      <c r="D43" s="593" t="s">
        <v>176</v>
      </c>
      <c r="E43" s="965"/>
    </row>
    <row r="45" spans="1:6" s="574" customFormat="1" ht="25.5">
      <c r="A45" s="571" t="s">
        <v>342</v>
      </c>
      <c r="B45" s="572" t="s">
        <v>343</v>
      </c>
      <c r="C45" s="573">
        <v>1560</v>
      </c>
      <c r="D45" s="574" t="s">
        <v>176</v>
      </c>
      <c r="E45" s="594" t="s">
        <v>309</v>
      </c>
      <c r="F45" s="595" t="s">
        <v>329</v>
      </c>
    </row>
    <row r="46" spans="2:6" ht="12.75">
      <c r="B46" t="s">
        <v>322</v>
      </c>
      <c r="C46" s="575">
        <v>710</v>
      </c>
      <c r="D46" t="s">
        <v>176</v>
      </c>
      <c r="E46" s="584">
        <f>ROUND(C46/C28,3)</f>
        <v>0.222</v>
      </c>
      <c r="F46" s="595" t="s">
        <v>329</v>
      </c>
    </row>
    <row r="47" spans="2:6" ht="12.75">
      <c r="B47" s="578" t="s">
        <v>323</v>
      </c>
      <c r="C47" s="575">
        <v>523</v>
      </c>
      <c r="D47" t="s">
        <v>328</v>
      </c>
      <c r="E47" s="584">
        <f>ROUND(C47/C32,3)</f>
        <v>0.054</v>
      </c>
      <c r="F47" s="595" t="s">
        <v>329</v>
      </c>
    </row>
    <row r="48" spans="2:6" ht="12.75">
      <c r="B48" s="578" t="s">
        <v>324</v>
      </c>
      <c r="C48" s="575">
        <v>305</v>
      </c>
      <c r="D48" t="s">
        <v>176</v>
      </c>
      <c r="E48" s="584">
        <f>ROUND(C48/C36,3)</f>
        <v>0.034</v>
      </c>
      <c r="F48" s="595" t="s">
        <v>329</v>
      </c>
    </row>
    <row r="49" spans="2:6" ht="12.75">
      <c r="B49" s="578" t="s">
        <v>325</v>
      </c>
      <c r="C49" s="575">
        <v>22</v>
      </c>
      <c r="D49" t="s">
        <v>328</v>
      </c>
      <c r="E49" s="584">
        <f>ROUND(C49/C40,3)</f>
        <v>0.018</v>
      </c>
      <c r="F49" s="595" t="s">
        <v>329</v>
      </c>
    </row>
    <row r="51" spans="1:7" ht="12.75">
      <c r="A51" s="596" t="s">
        <v>344</v>
      </c>
      <c r="B51" s="597" t="s">
        <v>345</v>
      </c>
      <c r="C51" s="598"/>
      <c r="D51" s="598"/>
      <c r="E51" s="598"/>
      <c r="F51" s="598"/>
      <c r="G51" s="598"/>
    </row>
    <row r="52" spans="1:7" ht="12.75">
      <c r="A52" s="596"/>
      <c r="B52" s="597"/>
      <c r="C52" s="596" t="s">
        <v>346</v>
      </c>
      <c r="D52" s="596" t="s">
        <v>347</v>
      </c>
      <c r="E52" s="596" t="s">
        <v>348</v>
      </c>
      <c r="F52" s="598"/>
      <c r="G52" s="598"/>
    </row>
    <row r="53" spans="1:7" ht="12.75">
      <c r="A53" s="596"/>
      <c r="B53" s="599" t="s">
        <v>349</v>
      </c>
      <c r="C53" s="598">
        <v>113</v>
      </c>
      <c r="D53" s="598">
        <v>82</v>
      </c>
      <c r="E53" s="598">
        <f>D53</f>
        <v>82</v>
      </c>
      <c r="F53" s="598" t="s">
        <v>350</v>
      </c>
      <c r="G53" s="598"/>
    </row>
    <row r="54" spans="1:7" ht="12.75">
      <c r="A54" s="596"/>
      <c r="B54" s="599" t="s">
        <v>351</v>
      </c>
      <c r="C54" s="598">
        <v>103</v>
      </c>
      <c r="D54" s="598">
        <v>82</v>
      </c>
      <c r="E54" s="598">
        <f>D54</f>
        <v>82</v>
      </c>
      <c r="F54" s="598" t="s">
        <v>350</v>
      </c>
      <c r="G54" s="598"/>
    </row>
    <row r="55" spans="1:7" ht="12.75">
      <c r="A55" s="596"/>
      <c r="B55" s="599" t="s">
        <v>352</v>
      </c>
      <c r="C55" s="598">
        <v>93</v>
      </c>
      <c r="D55" s="598">
        <v>76</v>
      </c>
      <c r="E55" s="598">
        <f>D55</f>
        <v>76</v>
      </c>
      <c r="F55" s="598" t="s">
        <v>350</v>
      </c>
      <c r="G55" s="598"/>
    </row>
    <row r="56" spans="1:7" ht="12.75">
      <c r="A56" s="596"/>
      <c r="B56" s="599" t="s">
        <v>353</v>
      </c>
      <c r="C56" s="598">
        <v>98</v>
      </c>
      <c r="D56" s="598">
        <v>81</v>
      </c>
      <c r="E56" s="598">
        <f>D56</f>
        <v>81</v>
      </c>
      <c r="F56" s="598" t="s">
        <v>350</v>
      </c>
      <c r="G56" s="598"/>
    </row>
    <row r="58" spans="1:2" s="348" customFormat="1" ht="12.75">
      <c r="A58" s="585" t="s">
        <v>354</v>
      </c>
      <c r="B58" s="586" t="s">
        <v>355</v>
      </c>
    </row>
    <row r="59" spans="1:15" s="348" customFormat="1" ht="12.75" customHeight="1">
      <c r="A59" s="585"/>
      <c r="B59" s="962"/>
      <c r="C59" s="961" t="s">
        <v>356</v>
      </c>
      <c r="D59" s="961"/>
      <c r="E59" s="961"/>
      <c r="F59" s="961"/>
      <c r="G59" s="961"/>
      <c r="H59" s="961" t="s">
        <v>357</v>
      </c>
      <c r="I59" s="961"/>
      <c r="J59" s="961"/>
      <c r="K59" s="961" t="s">
        <v>358</v>
      </c>
      <c r="L59" s="961"/>
      <c r="M59" s="961"/>
      <c r="N59" s="961"/>
      <c r="O59" s="961"/>
    </row>
    <row r="60" spans="1:15" s="348" customFormat="1" ht="12.75" customHeight="1">
      <c r="A60" s="585"/>
      <c r="B60" s="962"/>
      <c r="C60" s="961" t="s">
        <v>359</v>
      </c>
      <c r="D60" s="961" t="s">
        <v>360</v>
      </c>
      <c r="E60" s="961"/>
      <c r="F60" s="961"/>
      <c r="G60" s="961"/>
      <c r="H60" s="961" t="s">
        <v>359</v>
      </c>
      <c r="I60" s="961" t="s">
        <v>361</v>
      </c>
      <c r="J60" s="961"/>
      <c r="K60" s="961" t="s">
        <v>359</v>
      </c>
      <c r="L60" s="961" t="s">
        <v>360</v>
      </c>
      <c r="M60" s="961"/>
      <c r="N60" s="961"/>
      <c r="O60" s="961"/>
    </row>
    <row r="61" spans="1:15" s="348" customFormat="1" ht="12.75" customHeight="1">
      <c r="A61" s="585"/>
      <c r="B61" s="962"/>
      <c r="C61" s="961"/>
      <c r="D61" s="961" t="s">
        <v>362</v>
      </c>
      <c r="E61" s="961"/>
      <c r="F61" s="961" t="s">
        <v>363</v>
      </c>
      <c r="G61" s="961"/>
      <c r="H61" s="961"/>
      <c r="I61" s="963" t="s">
        <v>362</v>
      </c>
      <c r="J61" s="963" t="s">
        <v>363</v>
      </c>
      <c r="K61" s="961"/>
      <c r="L61" s="961" t="s">
        <v>362</v>
      </c>
      <c r="M61" s="961"/>
      <c r="N61" s="961" t="s">
        <v>363</v>
      </c>
      <c r="O61" s="961"/>
    </row>
    <row r="62" spans="1:15" s="348" customFormat="1" ht="45" customHeight="1">
      <c r="A62" s="585"/>
      <c r="B62" s="962"/>
      <c r="C62" s="961"/>
      <c r="D62" s="225" t="s">
        <v>364</v>
      </c>
      <c r="E62" s="225" t="s">
        <v>365</v>
      </c>
      <c r="F62" s="225" t="s">
        <v>364</v>
      </c>
      <c r="G62" s="225" t="s">
        <v>365</v>
      </c>
      <c r="H62" s="961"/>
      <c r="I62" s="963"/>
      <c r="J62" s="963"/>
      <c r="K62" s="961"/>
      <c r="L62" s="225" t="s">
        <v>364</v>
      </c>
      <c r="M62" s="225" t="s">
        <v>365</v>
      </c>
      <c r="N62" s="225" t="s">
        <v>364</v>
      </c>
      <c r="O62" s="225" t="s">
        <v>365</v>
      </c>
    </row>
    <row r="63" spans="1:15" s="348" customFormat="1" ht="12.75">
      <c r="A63" s="585"/>
      <c r="B63" s="600" t="s">
        <v>366</v>
      </c>
      <c r="C63" s="601">
        <f>ROUND(K63/H63/12*1000,8)</f>
        <v>100.22462298</v>
      </c>
      <c r="D63" s="538">
        <v>75</v>
      </c>
      <c r="E63" s="538">
        <f aca="true" t="shared" si="0" ref="E63:E77">C63-D63</f>
        <v>25.224622980000007</v>
      </c>
      <c r="F63" s="601">
        <f>C63</f>
        <v>100.22462298</v>
      </c>
      <c r="G63" s="538">
        <v>0</v>
      </c>
      <c r="H63" s="538">
        <f aca="true" t="shared" si="1" ref="H63:O63">SUM(H64:H67)</f>
        <v>11339</v>
      </c>
      <c r="I63" s="538">
        <f t="shared" si="1"/>
        <v>10570</v>
      </c>
      <c r="J63" s="538">
        <f t="shared" si="1"/>
        <v>769</v>
      </c>
      <c r="K63" s="602">
        <f t="shared" si="1"/>
        <v>13637.364</v>
      </c>
      <c r="L63" s="602">
        <f t="shared" si="1"/>
        <v>9513</v>
      </c>
      <c r="M63" s="602">
        <f t="shared" si="1"/>
        <v>3150.5399999999995</v>
      </c>
      <c r="N63" s="602">
        <f t="shared" si="1"/>
        <v>961.188</v>
      </c>
      <c r="O63" s="602">
        <f t="shared" si="1"/>
        <v>12.636</v>
      </c>
    </row>
    <row r="64" spans="2:15" ht="12.75">
      <c r="B64" s="603" t="s">
        <v>367</v>
      </c>
      <c r="C64" s="604">
        <f>C53</f>
        <v>113</v>
      </c>
      <c r="D64" s="604">
        <v>75</v>
      </c>
      <c r="E64" s="604">
        <f t="shared" si="0"/>
        <v>38</v>
      </c>
      <c r="F64" s="604">
        <v>110</v>
      </c>
      <c r="G64" s="604">
        <f>C64-F64</f>
        <v>3</v>
      </c>
      <c r="H64" s="604">
        <f>C29</f>
        <v>1579</v>
      </c>
      <c r="I64" s="604">
        <f>H64-J64</f>
        <v>1228</v>
      </c>
      <c r="J64" s="604">
        <f>ROUND(H64*$E$46,0)</f>
        <v>351</v>
      </c>
      <c r="K64" s="605">
        <f>SUM(L64:O64)</f>
        <v>2141.1240000000003</v>
      </c>
      <c r="L64" s="606">
        <f>ROUND(D64*I64*12/1000,4)</f>
        <v>1105.2</v>
      </c>
      <c r="M64" s="606">
        <f aca="true" t="shared" si="2" ref="M64:N67">ROUND(E64*I64*12/1000,4)</f>
        <v>559.968</v>
      </c>
      <c r="N64" s="606">
        <f t="shared" si="2"/>
        <v>463.32</v>
      </c>
      <c r="O64" s="606">
        <f>ROUND(G64*J64*12/1000,4)</f>
        <v>12.636</v>
      </c>
    </row>
    <row r="65" spans="2:15" ht="12.75">
      <c r="B65" s="603" t="s">
        <v>323</v>
      </c>
      <c r="C65" s="604">
        <f>C54</f>
        <v>103</v>
      </c>
      <c r="D65" s="604">
        <v>75</v>
      </c>
      <c r="E65" s="604">
        <f t="shared" si="0"/>
        <v>28</v>
      </c>
      <c r="F65" s="604">
        <f aca="true" t="shared" si="3" ref="F65:F77">C65</f>
        <v>103</v>
      </c>
      <c r="G65" s="604">
        <f>C65-F65</f>
        <v>0</v>
      </c>
      <c r="H65" s="604">
        <f>C33</f>
        <v>4737</v>
      </c>
      <c r="I65" s="604">
        <f>H65-J65</f>
        <v>4481</v>
      </c>
      <c r="J65" s="604">
        <f>ROUND(H65*$E$47,0)</f>
        <v>256</v>
      </c>
      <c r="K65" s="605">
        <f>SUM(L65:O65)</f>
        <v>5854.932</v>
      </c>
      <c r="L65" s="606">
        <f>ROUND(D65*I65*12/1000,4)</f>
        <v>4032.9</v>
      </c>
      <c r="M65" s="606">
        <f t="shared" si="2"/>
        <v>1505.616</v>
      </c>
      <c r="N65" s="606">
        <f t="shared" si="2"/>
        <v>316.416</v>
      </c>
      <c r="O65" s="606">
        <f>ROUND(G65*J65*12/1000,4)</f>
        <v>0</v>
      </c>
    </row>
    <row r="66" spans="2:15" ht="12.75">
      <c r="B66" s="603" t="s">
        <v>324</v>
      </c>
      <c r="C66" s="604">
        <f>C55</f>
        <v>93</v>
      </c>
      <c r="D66" s="604">
        <v>75</v>
      </c>
      <c r="E66" s="604">
        <f t="shared" si="0"/>
        <v>18</v>
      </c>
      <c r="F66" s="604">
        <f t="shared" si="3"/>
        <v>93</v>
      </c>
      <c r="G66" s="604">
        <f>C66-F66</f>
        <v>0</v>
      </c>
      <c r="H66" s="604">
        <f>C37</f>
        <v>4429</v>
      </c>
      <c r="I66" s="604">
        <f>H66-J66</f>
        <v>4278</v>
      </c>
      <c r="J66" s="604">
        <f>ROUND(H66*$E$48,0)</f>
        <v>151</v>
      </c>
      <c r="K66" s="605">
        <f>SUM(L66:O66)</f>
        <v>4942.763999999999</v>
      </c>
      <c r="L66" s="606">
        <f>ROUND(D66*I66*12/1000,4)</f>
        <v>3850.2</v>
      </c>
      <c r="M66" s="606">
        <f t="shared" si="2"/>
        <v>924.048</v>
      </c>
      <c r="N66" s="606">
        <f t="shared" si="2"/>
        <v>168.516</v>
      </c>
      <c r="O66" s="606">
        <f>ROUND(G66*J66*12/1000,4)</f>
        <v>0</v>
      </c>
    </row>
    <row r="67" spans="2:15" ht="12.75">
      <c r="B67" s="603" t="s">
        <v>325</v>
      </c>
      <c r="C67" s="604">
        <f>C56</f>
        <v>98</v>
      </c>
      <c r="D67" s="604">
        <v>75</v>
      </c>
      <c r="E67" s="604">
        <f t="shared" si="0"/>
        <v>23</v>
      </c>
      <c r="F67" s="604">
        <f t="shared" si="3"/>
        <v>98</v>
      </c>
      <c r="G67" s="604">
        <f>C67-F67</f>
        <v>0</v>
      </c>
      <c r="H67" s="604">
        <f>C41</f>
        <v>594</v>
      </c>
      <c r="I67" s="604">
        <f>H67-J67</f>
        <v>583</v>
      </c>
      <c r="J67" s="604">
        <f>ROUND(H67*$E$49,0)</f>
        <v>11</v>
      </c>
      <c r="K67" s="605">
        <f>SUM(L67:O67)</f>
        <v>698.5440000000001</v>
      </c>
      <c r="L67" s="606">
        <f>ROUND(D67*I67*12/1000,4)</f>
        <v>524.7</v>
      </c>
      <c r="M67" s="606">
        <f t="shared" si="2"/>
        <v>160.908</v>
      </c>
      <c r="N67" s="606">
        <f t="shared" si="2"/>
        <v>12.936</v>
      </c>
      <c r="O67" s="606">
        <f>ROUND(G67*J67*12/1000,4)</f>
        <v>0</v>
      </c>
    </row>
    <row r="68" spans="1:15" s="348" customFormat="1" ht="12.75">
      <c r="A68" s="585"/>
      <c r="B68" s="600" t="s">
        <v>368</v>
      </c>
      <c r="C68" s="601">
        <f>ROUND(K68/H68/12*1000,8)</f>
        <v>79.604047</v>
      </c>
      <c r="D68" s="538">
        <v>75</v>
      </c>
      <c r="E68" s="601">
        <f t="shared" si="0"/>
        <v>4.604046999999994</v>
      </c>
      <c r="F68" s="601">
        <f t="shared" si="3"/>
        <v>79.604047</v>
      </c>
      <c r="G68" s="538">
        <v>0</v>
      </c>
      <c r="H68" s="538">
        <f aca="true" t="shared" si="4" ref="H68:O68">SUM(H69:H72)</f>
        <v>7660</v>
      </c>
      <c r="I68" s="538">
        <f t="shared" si="4"/>
        <v>7141</v>
      </c>
      <c r="J68" s="538">
        <f t="shared" si="4"/>
        <v>519</v>
      </c>
      <c r="K68" s="602">
        <f t="shared" si="4"/>
        <v>7317.204</v>
      </c>
      <c r="L68" s="602">
        <f t="shared" si="4"/>
        <v>6426.900000000001</v>
      </c>
      <c r="M68" s="602">
        <f t="shared" si="4"/>
        <v>387.036</v>
      </c>
      <c r="N68" s="602">
        <f t="shared" si="4"/>
        <v>503.268</v>
      </c>
      <c r="O68" s="602">
        <f t="shared" si="4"/>
        <v>0</v>
      </c>
    </row>
    <row r="69" spans="2:15" ht="12.75">
      <c r="B69" s="603" t="s">
        <v>367</v>
      </c>
      <c r="C69" s="604">
        <f>D53</f>
        <v>82</v>
      </c>
      <c r="D69" s="604">
        <v>75</v>
      </c>
      <c r="E69" s="604">
        <f t="shared" si="0"/>
        <v>7</v>
      </c>
      <c r="F69" s="604">
        <f t="shared" si="3"/>
        <v>82</v>
      </c>
      <c r="G69" s="604">
        <f>C69-F69</f>
        <v>0</v>
      </c>
      <c r="H69" s="604">
        <f>C30</f>
        <v>1067</v>
      </c>
      <c r="I69" s="604">
        <f>H69-J69</f>
        <v>830</v>
      </c>
      <c r="J69" s="604">
        <f>ROUND(H69*$E$46,0)</f>
        <v>237</v>
      </c>
      <c r="K69" s="605">
        <f>SUM(L69:O69)</f>
        <v>1049.928</v>
      </c>
      <c r="L69" s="606">
        <f>ROUND(D69*I69*12/1000,4)</f>
        <v>747</v>
      </c>
      <c r="M69" s="606">
        <f aca="true" t="shared" si="5" ref="M69:N72">ROUND(E69*I69*12/1000,4)</f>
        <v>69.72</v>
      </c>
      <c r="N69" s="606">
        <f t="shared" si="5"/>
        <v>233.208</v>
      </c>
      <c r="O69" s="606">
        <f>ROUND(G69*J69*12/1000,4)</f>
        <v>0</v>
      </c>
    </row>
    <row r="70" spans="2:15" ht="12.75">
      <c r="B70" s="603" t="s">
        <v>323</v>
      </c>
      <c r="C70" s="604">
        <f>D54</f>
        <v>82</v>
      </c>
      <c r="D70" s="604">
        <v>75</v>
      </c>
      <c r="E70" s="604">
        <f t="shared" si="0"/>
        <v>7</v>
      </c>
      <c r="F70" s="604">
        <f t="shared" si="3"/>
        <v>82</v>
      </c>
      <c r="G70" s="604">
        <f>C70-F70</f>
        <v>0</v>
      </c>
      <c r="H70" s="604">
        <f>C34</f>
        <v>3200</v>
      </c>
      <c r="I70" s="604">
        <f>H70-J70</f>
        <v>3027</v>
      </c>
      <c r="J70" s="604">
        <f>ROUND(H70*$E$47,0)</f>
        <v>173</v>
      </c>
      <c r="K70" s="605">
        <f>SUM(L70:O70)</f>
        <v>3148.8</v>
      </c>
      <c r="L70" s="606">
        <f>ROUND(D70*I70*12/1000,4)</f>
        <v>2724.3</v>
      </c>
      <c r="M70" s="606">
        <f t="shared" si="5"/>
        <v>254.268</v>
      </c>
      <c r="N70" s="606">
        <f t="shared" si="5"/>
        <v>170.232</v>
      </c>
      <c r="O70" s="606">
        <f>ROUND(G70*J70*12/1000,4)</f>
        <v>0</v>
      </c>
    </row>
    <row r="71" spans="2:15" ht="12.75">
      <c r="B71" s="603" t="s">
        <v>324</v>
      </c>
      <c r="C71" s="604">
        <f>D55</f>
        <v>76</v>
      </c>
      <c r="D71" s="604">
        <v>75</v>
      </c>
      <c r="E71" s="604">
        <f t="shared" si="0"/>
        <v>1</v>
      </c>
      <c r="F71" s="604">
        <f t="shared" si="3"/>
        <v>76</v>
      </c>
      <c r="G71" s="604">
        <f>C71-F71</f>
        <v>0</v>
      </c>
      <c r="H71" s="604">
        <f>C38</f>
        <v>2992</v>
      </c>
      <c r="I71" s="604">
        <f>H71-J71</f>
        <v>2890</v>
      </c>
      <c r="J71" s="604">
        <f>ROUND(H71*$E$48,0)</f>
        <v>102</v>
      </c>
      <c r="K71" s="605">
        <f>SUM(L71:O71)</f>
        <v>2728.7039999999997</v>
      </c>
      <c r="L71" s="606">
        <f>ROUND(D71*I71*12/1000,4)</f>
        <v>2601</v>
      </c>
      <c r="M71" s="606">
        <f t="shared" si="5"/>
        <v>34.68</v>
      </c>
      <c r="N71" s="606">
        <f t="shared" si="5"/>
        <v>93.024</v>
      </c>
      <c r="O71" s="606">
        <f>ROUND(G71*J71*12/1000,4)</f>
        <v>0</v>
      </c>
    </row>
    <row r="72" spans="2:15" ht="12.75">
      <c r="B72" s="603" t="s">
        <v>325</v>
      </c>
      <c r="C72" s="604">
        <f>D56</f>
        <v>81</v>
      </c>
      <c r="D72" s="604">
        <v>75</v>
      </c>
      <c r="E72" s="604">
        <f t="shared" si="0"/>
        <v>6</v>
      </c>
      <c r="F72" s="604">
        <f t="shared" si="3"/>
        <v>81</v>
      </c>
      <c r="G72" s="604">
        <f>C72-F72</f>
        <v>0</v>
      </c>
      <c r="H72" s="604">
        <f>C42</f>
        <v>401</v>
      </c>
      <c r="I72" s="604">
        <f>H72-J72</f>
        <v>394</v>
      </c>
      <c r="J72" s="604">
        <f>ROUND(H72*$E$49,0)</f>
        <v>7</v>
      </c>
      <c r="K72" s="605">
        <f>SUM(L72:O72)</f>
        <v>389.772</v>
      </c>
      <c r="L72" s="606">
        <f>ROUND(D72*I72*12/1000,4)</f>
        <v>354.6</v>
      </c>
      <c r="M72" s="606">
        <f t="shared" si="5"/>
        <v>28.368</v>
      </c>
      <c r="N72" s="606">
        <f t="shared" si="5"/>
        <v>6.804</v>
      </c>
      <c r="O72" s="606">
        <f>ROUND(G72*J72*12/1000,4)</f>
        <v>0</v>
      </c>
    </row>
    <row r="73" spans="1:15" s="348" customFormat="1" ht="12.75">
      <c r="A73" s="585"/>
      <c r="B73" s="600" t="s">
        <v>369</v>
      </c>
      <c r="C73" s="601">
        <f>ROUND(K73/H73/12*1000,8)</f>
        <v>79.60384904</v>
      </c>
      <c r="D73" s="538">
        <v>75</v>
      </c>
      <c r="E73" s="601">
        <f t="shared" si="0"/>
        <v>4.60384904</v>
      </c>
      <c r="F73" s="538">
        <f t="shared" si="3"/>
        <v>79.60384904</v>
      </c>
      <c r="G73" s="538">
        <v>0</v>
      </c>
      <c r="H73" s="538">
        <f aca="true" t="shared" si="6" ref="H73:O73">SUM(H74:H77)</f>
        <v>4001</v>
      </c>
      <c r="I73" s="538">
        <f t="shared" si="6"/>
        <v>3729</v>
      </c>
      <c r="J73" s="538">
        <f t="shared" si="6"/>
        <v>272</v>
      </c>
      <c r="K73" s="602">
        <f t="shared" si="6"/>
        <v>3821.9400000000005</v>
      </c>
      <c r="L73" s="602">
        <f t="shared" si="6"/>
        <v>3356.1000000000004</v>
      </c>
      <c r="M73" s="602">
        <f t="shared" si="6"/>
        <v>201.98399999999998</v>
      </c>
      <c r="N73" s="602">
        <f t="shared" si="6"/>
        <v>263.85599999999994</v>
      </c>
      <c r="O73" s="602">
        <f t="shared" si="6"/>
        <v>0</v>
      </c>
    </row>
    <row r="74" spans="2:15" ht="12.75">
      <c r="B74" s="603" t="s">
        <v>367</v>
      </c>
      <c r="C74" s="604">
        <f>E53</f>
        <v>82</v>
      </c>
      <c r="D74" s="604">
        <v>75</v>
      </c>
      <c r="E74" s="604">
        <f t="shared" si="0"/>
        <v>7</v>
      </c>
      <c r="F74" s="604">
        <f t="shared" si="3"/>
        <v>82</v>
      </c>
      <c r="G74" s="604">
        <f>C74-F74</f>
        <v>0</v>
      </c>
      <c r="H74" s="604">
        <f>C31</f>
        <v>557</v>
      </c>
      <c r="I74" s="604">
        <f>H74-J74</f>
        <v>435</v>
      </c>
      <c r="J74" s="604">
        <f>C46-J64-J69</f>
        <v>122</v>
      </c>
      <c r="K74" s="605">
        <f>SUM(L74:O74)</f>
        <v>548.088</v>
      </c>
      <c r="L74" s="606">
        <f>ROUND(D74*I74*12/1000,4)</f>
        <v>391.5</v>
      </c>
      <c r="M74" s="606">
        <f aca="true" t="shared" si="7" ref="M74:N77">ROUND(E74*I74*12/1000,4)</f>
        <v>36.54</v>
      </c>
      <c r="N74" s="606">
        <f t="shared" si="7"/>
        <v>120.048</v>
      </c>
      <c r="O74" s="606">
        <f>ROUND(G74*J74*12/1000,4)</f>
        <v>0</v>
      </c>
    </row>
    <row r="75" spans="2:15" ht="12.75">
      <c r="B75" s="603" t="s">
        <v>323</v>
      </c>
      <c r="C75" s="604">
        <f>E54</f>
        <v>82</v>
      </c>
      <c r="D75" s="604">
        <v>75</v>
      </c>
      <c r="E75" s="604">
        <f t="shared" si="0"/>
        <v>7</v>
      </c>
      <c r="F75" s="604">
        <f t="shared" si="3"/>
        <v>82</v>
      </c>
      <c r="G75" s="604">
        <f>C75-F75</f>
        <v>0</v>
      </c>
      <c r="H75" s="604">
        <f>C35</f>
        <v>1672</v>
      </c>
      <c r="I75" s="604">
        <f>H75-J75</f>
        <v>1578</v>
      </c>
      <c r="J75" s="604">
        <f>C47-J65-J70</f>
        <v>94</v>
      </c>
      <c r="K75" s="605">
        <f>SUM(L75:O75)</f>
        <v>1645.248</v>
      </c>
      <c r="L75" s="606">
        <f>ROUND(D75*I75*12/1000,4)</f>
        <v>1420.2</v>
      </c>
      <c r="M75" s="606">
        <f t="shared" si="7"/>
        <v>132.552</v>
      </c>
      <c r="N75" s="606">
        <f t="shared" si="7"/>
        <v>92.496</v>
      </c>
      <c r="O75" s="606">
        <f>ROUND(G75*J75*12/1000,4)</f>
        <v>0</v>
      </c>
    </row>
    <row r="76" spans="2:15" ht="12.75">
      <c r="B76" s="603" t="s">
        <v>324</v>
      </c>
      <c r="C76" s="604">
        <f>E55</f>
        <v>76</v>
      </c>
      <c r="D76" s="604">
        <v>75</v>
      </c>
      <c r="E76" s="604">
        <f t="shared" si="0"/>
        <v>1</v>
      </c>
      <c r="F76" s="604">
        <f t="shared" si="3"/>
        <v>76</v>
      </c>
      <c r="G76" s="604">
        <f>C76-F76</f>
        <v>0</v>
      </c>
      <c r="H76" s="604">
        <f>C39</f>
        <v>1563</v>
      </c>
      <c r="I76" s="604">
        <f>H76-J76</f>
        <v>1511</v>
      </c>
      <c r="J76" s="604">
        <f>C48-J66-J71</f>
        <v>52</v>
      </c>
      <c r="K76" s="605">
        <f>SUM(L76:O76)</f>
        <v>1425.4560000000001</v>
      </c>
      <c r="L76" s="606">
        <f>ROUND(D76*I76*12/1000,4)</f>
        <v>1359.9</v>
      </c>
      <c r="M76" s="606">
        <f t="shared" si="7"/>
        <v>18.132</v>
      </c>
      <c r="N76" s="606">
        <f t="shared" si="7"/>
        <v>47.424</v>
      </c>
      <c r="O76" s="606">
        <f>ROUND(G76*J76*12/1000,4)</f>
        <v>0</v>
      </c>
    </row>
    <row r="77" spans="2:15" ht="12.75">
      <c r="B77" s="603" t="s">
        <v>325</v>
      </c>
      <c r="C77" s="604">
        <f>E56</f>
        <v>81</v>
      </c>
      <c r="D77" s="604">
        <v>75</v>
      </c>
      <c r="E77" s="604">
        <f t="shared" si="0"/>
        <v>6</v>
      </c>
      <c r="F77" s="604">
        <f t="shared" si="3"/>
        <v>81</v>
      </c>
      <c r="G77" s="604">
        <f>C77-F77</f>
        <v>0</v>
      </c>
      <c r="H77" s="604">
        <f>C43</f>
        <v>209</v>
      </c>
      <c r="I77" s="604">
        <f>H77-J77</f>
        <v>205</v>
      </c>
      <c r="J77" s="604">
        <f>C49-J67-J72</f>
        <v>4</v>
      </c>
      <c r="K77" s="605">
        <f>SUM(L77:O77)</f>
        <v>203.148</v>
      </c>
      <c r="L77" s="606">
        <f>ROUND(D77*I77*12/1000,4)</f>
        <v>184.5</v>
      </c>
      <c r="M77" s="606">
        <f t="shared" si="7"/>
        <v>14.76</v>
      </c>
      <c r="N77" s="606">
        <f t="shared" si="7"/>
        <v>3.888</v>
      </c>
      <c r="O77" s="606">
        <f>ROUND(G77*J77*12/1000,4)</f>
        <v>0</v>
      </c>
    </row>
  </sheetData>
  <sheetProtection selectLockedCells="1" selectUnlockedCells="1"/>
  <mergeCells count="21">
    <mergeCell ref="A1:H1"/>
    <mergeCell ref="E30:E31"/>
    <mergeCell ref="E34:E35"/>
    <mergeCell ref="E38:E39"/>
    <mergeCell ref="H59:J59"/>
    <mergeCell ref="I61:I62"/>
    <mergeCell ref="E42:E43"/>
    <mergeCell ref="B59:B62"/>
    <mergeCell ref="L61:M61"/>
    <mergeCell ref="C60:C62"/>
    <mergeCell ref="I60:J60"/>
    <mergeCell ref="D60:G60"/>
    <mergeCell ref="J61:J62"/>
    <mergeCell ref="D61:E61"/>
    <mergeCell ref="N61:O61"/>
    <mergeCell ref="K59:O59"/>
    <mergeCell ref="K60:K62"/>
    <mergeCell ref="L60:O60"/>
    <mergeCell ref="H60:H62"/>
    <mergeCell ref="F61:G61"/>
    <mergeCell ref="C59:G59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86" zoomScalePageLayoutView="0" workbookViewId="0" topLeftCell="B1">
      <selection activeCell="K74" sqref="K74"/>
    </sheetView>
  </sheetViews>
  <sheetFormatPr defaultColWidth="9.00390625" defaultRowHeight="12.75"/>
  <cols>
    <col min="1" max="1" width="2.625" style="607" customWidth="1"/>
    <col min="2" max="2" width="38.875" style="414" customWidth="1"/>
    <col min="3" max="3" width="12.625" style="414" customWidth="1"/>
    <col min="4" max="4" width="9.125" style="414" customWidth="1"/>
    <col min="5" max="5" width="11.75390625" style="414" customWidth="1"/>
    <col min="6" max="6" width="13.625" style="414" customWidth="1"/>
    <col min="7" max="8" width="12.00390625" style="414" customWidth="1"/>
    <col min="9" max="9" width="11.875" style="414" customWidth="1"/>
    <col min="10" max="10" width="8.00390625" style="414" customWidth="1"/>
    <col min="11" max="11" width="10.625" style="414" customWidth="1"/>
    <col min="12" max="13" width="9.625" style="414" customWidth="1"/>
    <col min="14" max="14" width="8.875" style="414" customWidth="1"/>
    <col min="15" max="15" width="8.125" style="414" customWidth="1"/>
    <col min="16" max="16384" width="9.125" style="414" customWidth="1"/>
  </cols>
  <sheetData>
    <row r="1" ht="12.75">
      <c r="G1" s="414" t="s">
        <v>370</v>
      </c>
    </row>
    <row r="2" spans="1:8" ht="14.25">
      <c r="A2" s="968" t="s">
        <v>371</v>
      </c>
      <c r="B2" s="968"/>
      <c r="C2" s="968"/>
      <c r="D2" s="968"/>
      <c r="E2" s="968"/>
      <c r="F2" s="968"/>
      <c r="G2" s="968"/>
      <c r="H2" s="968"/>
    </row>
    <row r="3" spans="1:8" ht="14.25" customHeight="1">
      <c r="A3" s="608"/>
      <c r="B3" s="608"/>
      <c r="C3" s="969" t="s">
        <v>372</v>
      </c>
      <c r="D3" s="969"/>
      <c r="E3" s="969"/>
      <c r="F3" s="608"/>
      <c r="G3" s="608"/>
      <c r="H3" s="608"/>
    </row>
    <row r="4" spans="1:8" ht="14.25" customHeight="1">
      <c r="A4" s="608"/>
      <c r="B4" s="608"/>
      <c r="C4" s="970" t="s">
        <v>373</v>
      </c>
      <c r="D4" s="970"/>
      <c r="E4" s="970"/>
      <c r="F4" s="608"/>
      <c r="G4" s="608"/>
      <c r="H4" s="608"/>
    </row>
    <row r="5" ht="12.75">
      <c r="E5" s="607" t="s">
        <v>309</v>
      </c>
    </row>
    <row r="6" spans="1:5" s="612" customFormat="1" ht="25.5">
      <c r="A6" s="609" t="s">
        <v>310</v>
      </c>
      <c r="B6" s="610" t="s">
        <v>311</v>
      </c>
      <c r="C6" s="611">
        <v>18.424</v>
      </c>
      <c r="D6" s="612" t="s">
        <v>34</v>
      </c>
      <c r="E6" s="612">
        <v>1</v>
      </c>
    </row>
    <row r="7" spans="2:14" ht="15.75">
      <c r="B7" s="414" t="s">
        <v>312</v>
      </c>
      <c r="C7" s="613"/>
      <c r="D7" s="414" t="s">
        <v>34</v>
      </c>
      <c r="E7" s="414">
        <f>ROUND(C7/C6,3)</f>
        <v>0</v>
      </c>
      <c r="I7" s="614"/>
      <c r="J7" s="615" t="s">
        <v>313</v>
      </c>
      <c r="K7" s="415"/>
      <c r="L7" s="415"/>
      <c r="M7" s="415"/>
      <c r="N7" s="415"/>
    </row>
    <row r="8" spans="2:14" ht="15.75">
      <c r="B8" s="616" t="s">
        <v>314</v>
      </c>
      <c r="C8" s="613">
        <v>18.424</v>
      </c>
      <c r="D8" s="414" t="s">
        <v>34</v>
      </c>
      <c r="E8" s="414">
        <f>ROUND(C8/C6,3)</f>
        <v>1</v>
      </c>
      <c r="I8" s="415"/>
      <c r="J8" s="617"/>
      <c r="K8" s="415"/>
      <c r="L8" s="415"/>
      <c r="M8" s="415"/>
      <c r="N8" s="415"/>
    </row>
    <row r="9" spans="2:14" ht="15.75">
      <c r="B9" s="616" t="s">
        <v>315</v>
      </c>
      <c r="C9" s="613"/>
      <c r="D9" s="414" t="s">
        <v>34</v>
      </c>
      <c r="E9" s="414">
        <f>ROUND(C9/C6,3)</f>
        <v>0</v>
      </c>
      <c r="I9" s="618"/>
      <c r="J9" s="615" t="s">
        <v>316</v>
      </c>
      <c r="K9" s="415"/>
      <c r="L9" s="415"/>
      <c r="M9" s="415"/>
      <c r="N9" s="415"/>
    </row>
    <row r="10" spans="2:5" ht="12.75">
      <c r="B10" s="616" t="s">
        <v>317</v>
      </c>
      <c r="C10" s="613"/>
      <c r="D10" s="414" t="s">
        <v>34</v>
      </c>
      <c r="E10" s="414">
        <f>E6-E7-E8-E9</f>
        <v>0</v>
      </c>
    </row>
    <row r="11" ht="7.5" customHeight="1"/>
    <row r="12" spans="1:8" s="612" customFormat="1" ht="25.5">
      <c r="A12" s="609" t="s">
        <v>318</v>
      </c>
      <c r="B12" s="619" t="s">
        <v>319</v>
      </c>
      <c r="C12" s="611">
        <v>856</v>
      </c>
      <c r="D12" s="612" t="s">
        <v>176</v>
      </c>
      <c r="F12" s="620" t="s">
        <v>320</v>
      </c>
      <c r="G12" s="621">
        <f>ROUND(C6/C12*1000,1)</f>
        <v>21.5</v>
      </c>
      <c r="H12" s="612" t="s">
        <v>321</v>
      </c>
    </row>
    <row r="13" spans="2:4" ht="12.75">
      <c r="B13" s="414" t="s">
        <v>322</v>
      </c>
      <c r="C13" s="622">
        <f>ROUND(C7/G12*1000,0)</f>
        <v>0</v>
      </c>
      <c r="D13" s="414" t="s">
        <v>176</v>
      </c>
    </row>
    <row r="14" spans="2:4" ht="12.75">
      <c r="B14" s="616" t="s">
        <v>323</v>
      </c>
      <c r="C14" s="622">
        <v>579</v>
      </c>
      <c r="D14" s="414" t="s">
        <v>176</v>
      </c>
    </row>
    <row r="15" spans="2:4" ht="12.75">
      <c r="B15" s="616" t="s">
        <v>324</v>
      </c>
      <c r="C15" s="622">
        <v>277</v>
      </c>
      <c r="D15" s="414" t="s">
        <v>176</v>
      </c>
    </row>
    <row r="16" spans="2:4" ht="12.75">
      <c r="B16" s="616" t="s">
        <v>325</v>
      </c>
      <c r="C16" s="622">
        <f>C12-C13-C14-C15</f>
        <v>0</v>
      </c>
      <c r="D16" s="414" t="s">
        <v>176</v>
      </c>
    </row>
    <row r="18" spans="1:2" s="625" customFormat="1" ht="12.75">
      <c r="A18" s="623" t="s">
        <v>326</v>
      </c>
      <c r="B18" s="624" t="s">
        <v>327</v>
      </c>
    </row>
    <row r="19" spans="2:5" ht="12.75">
      <c r="B19" s="414" t="s">
        <v>322</v>
      </c>
      <c r="C19" s="613"/>
      <c r="D19" s="414" t="s">
        <v>328</v>
      </c>
      <c r="E19" s="626" t="s">
        <v>329</v>
      </c>
    </row>
    <row r="20" spans="2:5" ht="12.75">
      <c r="B20" s="616" t="s">
        <v>323</v>
      </c>
      <c r="C20" s="613">
        <v>2</v>
      </c>
      <c r="D20" s="414" t="s">
        <v>328</v>
      </c>
      <c r="E20" s="626" t="s">
        <v>329</v>
      </c>
    </row>
    <row r="21" spans="2:5" ht="12.75">
      <c r="B21" s="616" t="s">
        <v>324</v>
      </c>
      <c r="C21" s="613">
        <v>3</v>
      </c>
      <c r="D21" s="414" t="s">
        <v>328</v>
      </c>
      <c r="E21" s="626" t="s">
        <v>329</v>
      </c>
    </row>
    <row r="22" spans="2:5" ht="12.75">
      <c r="B22" s="616" t="s">
        <v>325</v>
      </c>
      <c r="C22" s="613"/>
      <c r="D22" s="414" t="s">
        <v>328</v>
      </c>
      <c r="E22" s="626" t="s">
        <v>329</v>
      </c>
    </row>
    <row r="23" ht="8.25" customHeight="1">
      <c r="B23" s="616"/>
    </row>
    <row r="24" spans="2:6" ht="12.75">
      <c r="B24" s="627"/>
      <c r="E24" s="607" t="s">
        <v>330</v>
      </c>
      <c r="F24" s="607" t="s">
        <v>309</v>
      </c>
    </row>
    <row r="25" spans="1:6" s="625" customFormat="1" ht="12.75">
      <c r="A25" s="623" t="s">
        <v>331</v>
      </c>
      <c r="B25" s="625" t="s">
        <v>332</v>
      </c>
      <c r="C25" s="628">
        <f>C6</f>
        <v>18.424</v>
      </c>
      <c r="D25" s="625" t="s">
        <v>34</v>
      </c>
      <c r="E25" s="628">
        <f>C12</f>
        <v>856</v>
      </c>
      <c r="F25" s="628">
        <v>1</v>
      </c>
    </row>
    <row r="26" spans="2:6" ht="12.75">
      <c r="B26" s="414" t="s">
        <v>333</v>
      </c>
      <c r="C26" s="613"/>
      <c r="D26" s="414" t="s">
        <v>34</v>
      </c>
      <c r="E26" s="622">
        <f>ROUND(C26/G12*1000,0)</f>
        <v>0</v>
      </c>
      <c r="F26" s="622">
        <f>ROUND(E26/E25,3)</f>
        <v>0</v>
      </c>
    </row>
    <row r="27" spans="2:6" ht="12.75">
      <c r="B27" s="414" t="s">
        <v>334</v>
      </c>
      <c r="C27" s="613"/>
      <c r="D27" s="414" t="s">
        <v>34</v>
      </c>
      <c r="E27" s="622">
        <f>ROUND(C27/G12*1000,0)</f>
        <v>0</v>
      </c>
      <c r="F27" s="622">
        <f>ROUND(E27/E25,3)</f>
        <v>0</v>
      </c>
    </row>
    <row r="28" spans="2:6" ht="12.75">
      <c r="B28" s="414" t="s">
        <v>335</v>
      </c>
      <c r="C28" s="629">
        <f>C25-C26-C27</f>
        <v>18.424</v>
      </c>
      <c r="D28" s="414" t="s">
        <v>34</v>
      </c>
      <c r="E28" s="622">
        <f>E25-E26-E27</f>
        <v>856</v>
      </c>
      <c r="F28" s="622">
        <f>F25-F26-F27</f>
        <v>1</v>
      </c>
    </row>
    <row r="30" spans="1:4" s="612" customFormat="1" ht="25.5">
      <c r="A30" s="609" t="s">
        <v>336</v>
      </c>
      <c r="B30" s="619" t="s">
        <v>337</v>
      </c>
      <c r="C30" s="630">
        <f>C12</f>
        <v>856</v>
      </c>
      <c r="D30" s="612" t="s">
        <v>176</v>
      </c>
    </row>
    <row r="31" spans="2:4" ht="12.75">
      <c r="B31" s="414" t="s">
        <v>322</v>
      </c>
      <c r="C31" s="622">
        <f>C13</f>
        <v>0</v>
      </c>
      <c r="D31" s="414" t="s">
        <v>176</v>
      </c>
    </row>
    <row r="32" spans="2:5" ht="12.75">
      <c r="B32" s="631" t="s">
        <v>338</v>
      </c>
      <c r="C32" s="632">
        <f>ROUND(C31*$F$26,0)</f>
        <v>0</v>
      </c>
      <c r="D32" s="633" t="s">
        <v>176</v>
      </c>
      <c r="E32" s="607" t="s">
        <v>339</v>
      </c>
    </row>
    <row r="33" spans="2:5" ht="12.75">
      <c r="B33" s="631" t="s">
        <v>340</v>
      </c>
      <c r="C33" s="632">
        <f>ROUND(C31*$F$27,0)</f>
        <v>0</v>
      </c>
      <c r="D33" s="633" t="s">
        <v>176</v>
      </c>
      <c r="E33" s="966">
        <f>C33+C34</f>
        <v>0</v>
      </c>
    </row>
    <row r="34" spans="2:5" ht="12.75">
      <c r="B34" s="631" t="s">
        <v>341</v>
      </c>
      <c r="C34" s="632">
        <f>C31-C32-C33</f>
        <v>0</v>
      </c>
      <c r="D34" s="633" t="s">
        <v>176</v>
      </c>
      <c r="E34" s="966"/>
    </row>
    <row r="35" spans="2:4" ht="12.75">
      <c r="B35" s="616" t="s">
        <v>323</v>
      </c>
      <c r="C35" s="622">
        <f>C14</f>
        <v>579</v>
      </c>
      <c r="D35" s="414" t="s">
        <v>176</v>
      </c>
    </row>
    <row r="36" spans="2:5" ht="12.75">
      <c r="B36" s="631" t="s">
        <v>338</v>
      </c>
      <c r="C36" s="632">
        <f>ROUND(C35*$F$26,0)</f>
        <v>0</v>
      </c>
      <c r="D36" s="633" t="s">
        <v>176</v>
      </c>
      <c r="E36" s="607" t="s">
        <v>339</v>
      </c>
    </row>
    <row r="37" spans="2:5" ht="12.75">
      <c r="B37" s="631" t="s">
        <v>340</v>
      </c>
      <c r="C37" s="632">
        <v>579</v>
      </c>
      <c r="D37" s="633" t="s">
        <v>176</v>
      </c>
      <c r="E37" s="966">
        <f>C37+C38</f>
        <v>579</v>
      </c>
    </row>
    <row r="38" spans="2:5" ht="12.75">
      <c r="B38" s="631" t="s">
        <v>341</v>
      </c>
      <c r="C38" s="632">
        <f>C35-C36-C37</f>
        <v>0</v>
      </c>
      <c r="D38" s="633" t="s">
        <v>176</v>
      </c>
      <c r="E38" s="966"/>
    </row>
    <row r="39" spans="2:4" ht="12.75">
      <c r="B39" s="616" t="s">
        <v>324</v>
      </c>
      <c r="C39" s="622">
        <f>C15</f>
        <v>277</v>
      </c>
      <c r="D39" s="414" t="s">
        <v>176</v>
      </c>
    </row>
    <row r="40" spans="2:5" ht="12.75">
      <c r="B40" s="631" t="s">
        <v>338</v>
      </c>
      <c r="C40" s="632">
        <f>ROUND(C39*$F$26,0)</f>
        <v>0</v>
      </c>
      <c r="D40" s="634" t="s">
        <v>176</v>
      </c>
      <c r="E40" s="607" t="s">
        <v>339</v>
      </c>
    </row>
    <row r="41" spans="2:5" ht="12.75">
      <c r="B41" s="631" t="s">
        <v>340</v>
      </c>
      <c r="C41" s="632">
        <v>277</v>
      </c>
      <c r="D41" s="634" t="s">
        <v>176</v>
      </c>
      <c r="E41" s="966">
        <f>C41+C42</f>
        <v>277</v>
      </c>
    </row>
    <row r="42" spans="2:5" ht="12.75">
      <c r="B42" s="631" t="s">
        <v>341</v>
      </c>
      <c r="C42" s="632">
        <v>0</v>
      </c>
      <c r="D42" s="634" t="s">
        <v>176</v>
      </c>
      <c r="E42" s="966"/>
    </row>
    <row r="43" spans="2:4" ht="12.75">
      <c r="B43" s="616" t="s">
        <v>325</v>
      </c>
      <c r="C43" s="622">
        <f>C30-C31-C35-C39</f>
        <v>0</v>
      </c>
      <c r="D43" s="414" t="s">
        <v>176</v>
      </c>
    </row>
    <row r="44" spans="2:5" ht="12.75">
      <c r="B44" s="631" t="s">
        <v>338</v>
      </c>
      <c r="C44" s="632">
        <f>ROUND(C43*$F$26,0)</f>
        <v>0</v>
      </c>
      <c r="D44" s="634" t="s">
        <v>176</v>
      </c>
      <c r="E44" s="607" t="s">
        <v>339</v>
      </c>
    </row>
    <row r="45" spans="2:5" ht="12.75">
      <c r="B45" s="631" t="s">
        <v>340</v>
      </c>
      <c r="C45" s="632">
        <f>ROUND(C43*$F$27,0)</f>
        <v>0</v>
      </c>
      <c r="D45" s="634" t="s">
        <v>176</v>
      </c>
      <c r="E45" s="966">
        <f>C45+C46</f>
        <v>0</v>
      </c>
    </row>
    <row r="46" spans="2:5" ht="12.75">
      <c r="B46" s="631" t="s">
        <v>341</v>
      </c>
      <c r="C46" s="632">
        <f>C43-C44-C45</f>
        <v>0</v>
      </c>
      <c r="D46" s="634" t="s">
        <v>176</v>
      </c>
      <c r="E46" s="966"/>
    </row>
    <row r="48" spans="1:6" s="612" customFormat="1" ht="25.5">
      <c r="A48" s="609" t="s">
        <v>342</v>
      </c>
      <c r="B48" s="610" t="s">
        <v>343</v>
      </c>
      <c r="C48" s="611"/>
      <c r="D48" s="612" t="s">
        <v>176</v>
      </c>
      <c r="E48" s="635" t="s">
        <v>309</v>
      </c>
      <c r="F48" s="636" t="s">
        <v>329</v>
      </c>
    </row>
    <row r="49" spans="2:6" ht="12.75">
      <c r="B49" s="414" t="s">
        <v>322</v>
      </c>
      <c r="C49" s="613"/>
      <c r="D49" s="414" t="s">
        <v>176</v>
      </c>
      <c r="E49" s="622" t="e">
        <f>ROUND(C49/C31,3)</f>
        <v>#DIV/0!</v>
      </c>
      <c r="F49" s="636" t="s">
        <v>329</v>
      </c>
    </row>
    <row r="50" spans="2:6" ht="12.75">
      <c r="B50" s="616" t="s">
        <v>323</v>
      </c>
      <c r="C50" s="613"/>
      <c r="D50" s="414" t="s">
        <v>328</v>
      </c>
      <c r="E50" s="622">
        <f>ROUND(C50/C35,3)</f>
        <v>0</v>
      </c>
      <c r="F50" s="636" t="s">
        <v>329</v>
      </c>
    </row>
    <row r="51" spans="2:6" ht="12.75">
      <c r="B51" s="616" t="s">
        <v>324</v>
      </c>
      <c r="C51" s="613"/>
      <c r="D51" s="414" t="s">
        <v>176</v>
      </c>
      <c r="E51" s="622">
        <f>ROUND(C51/C39,3)</f>
        <v>0</v>
      </c>
      <c r="F51" s="636" t="s">
        <v>329</v>
      </c>
    </row>
    <row r="52" spans="2:6" ht="12.75">
      <c r="B52" s="616" t="s">
        <v>325</v>
      </c>
      <c r="C52" s="629">
        <f>C48-C49-C50-C51</f>
        <v>0</v>
      </c>
      <c r="D52" s="414" t="s">
        <v>328</v>
      </c>
      <c r="E52" s="622" t="e">
        <f>ROUND(C52/C43,3)</f>
        <v>#DIV/0!</v>
      </c>
      <c r="F52" s="636" t="s">
        <v>329</v>
      </c>
    </row>
    <row r="54" spans="1:8" ht="12.75">
      <c r="A54" s="637" t="s">
        <v>344</v>
      </c>
      <c r="B54" s="638" t="s">
        <v>374</v>
      </c>
      <c r="C54" s="639"/>
      <c r="D54" s="639"/>
      <c r="E54" s="639"/>
      <c r="F54" s="639"/>
      <c r="G54" s="639"/>
      <c r="H54" s="639"/>
    </row>
    <row r="55" spans="1:8" ht="12.75">
      <c r="A55" s="637"/>
      <c r="B55" s="638"/>
      <c r="C55" s="637" t="s">
        <v>346</v>
      </c>
      <c r="D55" s="637" t="s">
        <v>347</v>
      </c>
      <c r="E55" s="637" t="s">
        <v>348</v>
      </c>
      <c r="F55" s="639"/>
      <c r="G55" s="639"/>
      <c r="H55" s="639"/>
    </row>
    <row r="56" spans="1:8" ht="12.75">
      <c r="A56" s="637"/>
      <c r="B56" s="640" t="s">
        <v>367</v>
      </c>
      <c r="C56" s="613"/>
      <c r="D56" s="613"/>
      <c r="E56" s="613"/>
      <c r="F56" s="639" t="s">
        <v>350</v>
      </c>
      <c r="G56" s="639"/>
      <c r="H56" s="639"/>
    </row>
    <row r="57" spans="1:8" ht="12.75">
      <c r="A57" s="637"/>
      <c r="B57" s="640" t="s">
        <v>323</v>
      </c>
      <c r="C57" s="613"/>
      <c r="D57" s="613">
        <v>96</v>
      </c>
      <c r="E57" s="613"/>
      <c r="F57" s="639" t="s">
        <v>350</v>
      </c>
      <c r="G57" s="639"/>
      <c r="H57" s="639">
        <v>2</v>
      </c>
    </row>
    <row r="58" spans="1:8" ht="12.75">
      <c r="A58" s="637"/>
      <c r="B58" s="640" t="s">
        <v>324</v>
      </c>
      <c r="C58" s="613"/>
      <c r="D58" s="613">
        <v>84</v>
      </c>
      <c r="E58" s="613"/>
      <c r="F58" s="639" t="s">
        <v>350</v>
      </c>
      <c r="G58" s="639"/>
      <c r="H58" s="639">
        <v>3</v>
      </c>
    </row>
    <row r="59" spans="1:8" ht="12.75">
      <c r="A59" s="637"/>
      <c r="B59" s="640" t="s">
        <v>325</v>
      </c>
      <c r="C59" s="613"/>
      <c r="D59" s="613"/>
      <c r="E59" s="613"/>
      <c r="F59" s="639" t="s">
        <v>350</v>
      </c>
      <c r="G59" s="639"/>
      <c r="H59" s="639"/>
    </row>
    <row r="61" spans="1:2" s="625" customFormat="1" ht="12.75">
      <c r="A61" s="623" t="s">
        <v>354</v>
      </c>
      <c r="B61" s="624" t="s">
        <v>375</v>
      </c>
    </row>
    <row r="62" spans="1:15" s="625" customFormat="1" ht="12.75" customHeight="1">
      <c r="A62" s="623"/>
      <c r="B62" s="967"/>
      <c r="C62" s="961" t="s">
        <v>356</v>
      </c>
      <c r="D62" s="961"/>
      <c r="E62" s="961"/>
      <c r="F62" s="961"/>
      <c r="G62" s="961"/>
      <c r="H62" s="961" t="s">
        <v>357</v>
      </c>
      <c r="I62" s="961"/>
      <c r="J62" s="961"/>
      <c r="K62" s="961" t="s">
        <v>358</v>
      </c>
      <c r="L62" s="961"/>
      <c r="M62" s="961"/>
      <c r="N62" s="961"/>
      <c r="O62" s="961"/>
    </row>
    <row r="63" spans="1:15" s="625" customFormat="1" ht="12.75" customHeight="1">
      <c r="A63" s="623"/>
      <c r="B63" s="967"/>
      <c r="C63" s="961" t="s">
        <v>359</v>
      </c>
      <c r="D63" s="961" t="s">
        <v>360</v>
      </c>
      <c r="E63" s="961"/>
      <c r="F63" s="961"/>
      <c r="G63" s="961"/>
      <c r="H63" s="961" t="s">
        <v>359</v>
      </c>
      <c r="I63" s="961" t="s">
        <v>361</v>
      </c>
      <c r="J63" s="961"/>
      <c r="K63" s="961" t="s">
        <v>359</v>
      </c>
      <c r="L63" s="961" t="s">
        <v>360</v>
      </c>
      <c r="M63" s="961"/>
      <c r="N63" s="961"/>
      <c r="O63" s="961"/>
    </row>
    <row r="64" spans="1:15" s="625" customFormat="1" ht="12.75" customHeight="1">
      <c r="A64" s="623"/>
      <c r="B64" s="967"/>
      <c r="C64" s="961"/>
      <c r="D64" s="961" t="s">
        <v>362</v>
      </c>
      <c r="E64" s="961"/>
      <c r="F64" s="961" t="s">
        <v>363</v>
      </c>
      <c r="G64" s="961"/>
      <c r="H64" s="961"/>
      <c r="I64" s="963" t="s">
        <v>362</v>
      </c>
      <c r="J64" s="963" t="s">
        <v>363</v>
      </c>
      <c r="K64" s="961"/>
      <c r="L64" s="961" t="s">
        <v>362</v>
      </c>
      <c r="M64" s="961"/>
      <c r="N64" s="961" t="s">
        <v>363</v>
      </c>
      <c r="O64" s="961"/>
    </row>
    <row r="65" spans="1:15" s="625" customFormat="1" ht="45" customHeight="1">
      <c r="A65" s="623"/>
      <c r="B65" s="967"/>
      <c r="C65" s="961"/>
      <c r="D65" s="225" t="s">
        <v>364</v>
      </c>
      <c r="E65" s="225" t="s">
        <v>365</v>
      </c>
      <c r="F65" s="225" t="s">
        <v>364</v>
      </c>
      <c r="G65" s="225" t="s">
        <v>365</v>
      </c>
      <c r="H65" s="961"/>
      <c r="I65" s="963"/>
      <c r="J65" s="963"/>
      <c r="K65" s="961"/>
      <c r="L65" s="225" t="s">
        <v>364</v>
      </c>
      <c r="M65" s="225" t="s">
        <v>365</v>
      </c>
      <c r="N65" s="225" t="s">
        <v>364</v>
      </c>
      <c r="O65" s="225" t="s">
        <v>365</v>
      </c>
    </row>
    <row r="66" spans="1:15" s="625" customFormat="1" ht="12.75">
      <c r="A66" s="623"/>
      <c r="B66" s="641" t="s">
        <v>366</v>
      </c>
      <c r="C66" s="642" t="e">
        <f>ROUND(K66/H66/12*1000,8)</f>
        <v>#DIV/0!</v>
      </c>
      <c r="D66" s="344"/>
      <c r="E66" s="344"/>
      <c r="F66" s="642"/>
      <c r="G66" s="344"/>
      <c r="H66" s="344">
        <v>856</v>
      </c>
      <c r="I66" s="344" t="e">
        <f aca="true" t="shared" si="0" ref="I66:O66">SUM(I67:I70)</f>
        <v>#DIV/0!</v>
      </c>
      <c r="J66" s="344" t="e">
        <f t="shared" si="0"/>
        <v>#DIV/0!</v>
      </c>
      <c r="K66" s="354" t="e">
        <f t="shared" si="0"/>
        <v>#DIV/0!</v>
      </c>
      <c r="L66" s="354" t="e">
        <f t="shared" si="0"/>
        <v>#DIV/0!</v>
      </c>
      <c r="M66" s="354" t="e">
        <f t="shared" si="0"/>
        <v>#DIV/0!</v>
      </c>
      <c r="N66" s="354" t="e">
        <f t="shared" si="0"/>
        <v>#DIV/0!</v>
      </c>
      <c r="O66" s="354" t="e">
        <f t="shared" si="0"/>
        <v>#DIV/0!</v>
      </c>
    </row>
    <row r="67" spans="2:15" ht="12.75">
      <c r="B67" s="643" t="s">
        <v>367</v>
      </c>
      <c r="C67" s="644">
        <f>C56</f>
        <v>0</v>
      </c>
      <c r="D67" s="644">
        <v>75</v>
      </c>
      <c r="E67" s="644">
        <f>C67-D67</f>
        <v>-75</v>
      </c>
      <c r="F67" s="644"/>
      <c r="G67" s="644">
        <f>C67-F67</f>
        <v>0</v>
      </c>
      <c r="H67" s="644">
        <f>C32</f>
        <v>0</v>
      </c>
      <c r="I67" s="644" t="e">
        <f>H67-J67</f>
        <v>#DIV/0!</v>
      </c>
      <c r="J67" s="644" t="e">
        <f>ROUND(H67*$E$49,0)</f>
        <v>#DIV/0!</v>
      </c>
      <c r="K67" s="605" t="e">
        <f>SUM(L67:O67)</f>
        <v>#DIV/0!</v>
      </c>
      <c r="L67" s="606" t="e">
        <f>ROUND(D67*I67*12/1000,4)</f>
        <v>#DIV/0!</v>
      </c>
      <c r="M67" s="606" t="e">
        <f aca="true" t="shared" si="1" ref="M67:N70">ROUND(E67*I67*12/1000,4)</f>
        <v>#DIV/0!</v>
      </c>
      <c r="N67" s="606" t="e">
        <f t="shared" si="1"/>
        <v>#DIV/0!</v>
      </c>
      <c r="O67" s="606" t="e">
        <f>ROUND(G67*J67*12/1000,4)</f>
        <v>#DIV/0!</v>
      </c>
    </row>
    <row r="68" spans="2:15" ht="12.75">
      <c r="B68" s="643" t="s">
        <v>323</v>
      </c>
      <c r="C68" s="644">
        <f>C57</f>
        <v>0</v>
      </c>
      <c r="D68" s="644">
        <v>75</v>
      </c>
      <c r="E68" s="644">
        <f>C68-D68</f>
        <v>-75</v>
      </c>
      <c r="F68" s="644"/>
      <c r="G68" s="644">
        <f>C68-F68</f>
        <v>0</v>
      </c>
      <c r="H68" s="644">
        <v>856</v>
      </c>
      <c r="I68" s="644">
        <f>H68-J68</f>
        <v>856</v>
      </c>
      <c r="J68" s="644">
        <f>ROUND(H68*$E$50,0)</f>
        <v>0</v>
      </c>
      <c r="K68" s="605">
        <f>SUM(L68:O68)</f>
        <v>0</v>
      </c>
      <c r="L68" s="606">
        <f>ROUND(D68*I68*12/1000,4)</f>
        <v>770.4</v>
      </c>
      <c r="M68" s="606">
        <f t="shared" si="1"/>
        <v>-770.4</v>
      </c>
      <c r="N68" s="606">
        <f t="shared" si="1"/>
        <v>0</v>
      </c>
      <c r="O68" s="606">
        <f>ROUND(G68*J68*12/1000,4)</f>
        <v>0</v>
      </c>
    </row>
    <row r="69" spans="2:15" ht="12.75">
      <c r="B69" s="643" t="s">
        <v>324</v>
      </c>
      <c r="C69" s="644">
        <f>C58</f>
        <v>0</v>
      </c>
      <c r="D69" s="644">
        <v>75</v>
      </c>
      <c r="E69" s="644">
        <f>C69-D69</f>
        <v>-75</v>
      </c>
      <c r="F69" s="644"/>
      <c r="G69" s="644">
        <f>C69-F69</f>
        <v>0</v>
      </c>
      <c r="H69" s="644">
        <f>C40</f>
        <v>0</v>
      </c>
      <c r="I69" s="644">
        <f>H69-J69</f>
        <v>0</v>
      </c>
      <c r="J69" s="644">
        <f>ROUND(H69*$E$51,0)</f>
        <v>0</v>
      </c>
      <c r="K69" s="605">
        <f>SUM(L69:O69)</f>
        <v>0</v>
      </c>
      <c r="L69" s="606">
        <f>ROUND(D69*I69*12/1000,4)</f>
        <v>0</v>
      </c>
      <c r="M69" s="606">
        <f t="shared" si="1"/>
        <v>0</v>
      </c>
      <c r="N69" s="606">
        <f t="shared" si="1"/>
        <v>0</v>
      </c>
      <c r="O69" s="606">
        <f>ROUND(G69*J69*12/1000,4)</f>
        <v>0</v>
      </c>
    </row>
    <row r="70" spans="2:15" ht="12.75">
      <c r="B70" s="643" t="s">
        <v>325</v>
      </c>
      <c r="C70" s="644">
        <f>C59</f>
        <v>0</v>
      </c>
      <c r="D70" s="644">
        <v>75</v>
      </c>
      <c r="E70" s="644">
        <f>C70-D70</f>
        <v>-75</v>
      </c>
      <c r="F70" s="644"/>
      <c r="G70" s="644">
        <f>C70-F70</f>
        <v>0</v>
      </c>
      <c r="H70" s="644">
        <f>C44</f>
        <v>0</v>
      </c>
      <c r="I70" s="644" t="e">
        <f>H70-J70</f>
        <v>#DIV/0!</v>
      </c>
      <c r="J70" s="644" t="e">
        <f>ROUND(H70*$E$52,0)</f>
        <v>#DIV/0!</v>
      </c>
      <c r="K70" s="605" t="e">
        <f>SUM(L70:O70)</f>
        <v>#DIV/0!</v>
      </c>
      <c r="L70" s="606" t="e">
        <f>ROUND(D70*I70*12/1000,4)</f>
        <v>#DIV/0!</v>
      </c>
      <c r="M70" s="606" t="e">
        <f t="shared" si="1"/>
        <v>#DIV/0!</v>
      </c>
      <c r="N70" s="606" t="e">
        <f t="shared" si="1"/>
        <v>#DIV/0!</v>
      </c>
      <c r="O70" s="606" t="e">
        <f>ROUND(G70*J70*12/1000,4)</f>
        <v>#DIV/0!</v>
      </c>
    </row>
    <row r="71" spans="1:15" s="625" customFormat="1" ht="12.75">
      <c r="A71" s="623"/>
      <c r="B71" s="641" t="s">
        <v>368</v>
      </c>
      <c r="C71" s="642">
        <f>ROUND(K71/H71/12*1000,8)</f>
        <v>92.11682243</v>
      </c>
      <c r="D71" s="344"/>
      <c r="E71" s="642"/>
      <c r="F71" s="642"/>
      <c r="G71" s="344"/>
      <c r="H71" s="344">
        <f>SUM(H72:H75)</f>
        <v>856</v>
      </c>
      <c r="I71" s="344">
        <v>856</v>
      </c>
      <c r="J71" s="344">
        <v>0</v>
      </c>
      <c r="K71" s="354">
        <f>SUM(K73:K74)</f>
        <v>946.224</v>
      </c>
      <c r="L71" s="354">
        <f>SUM(L73:L74)</f>
        <v>770.4000000000001</v>
      </c>
      <c r="M71" s="354">
        <f>SUM(M73:M74)</f>
        <v>175.82399999999998</v>
      </c>
      <c r="N71" s="354" t="e">
        <f>SUM(N72:N75)</f>
        <v>#DIV/0!</v>
      </c>
      <c r="O71" s="354" t="e">
        <f>SUM(O72:O75)</f>
        <v>#DIV/0!</v>
      </c>
    </row>
    <row r="72" spans="2:15" ht="12.75">
      <c r="B72" s="643" t="s">
        <v>367</v>
      </c>
      <c r="C72" s="644">
        <f>D56</f>
        <v>0</v>
      </c>
      <c r="D72" s="644">
        <v>0</v>
      </c>
      <c r="E72" s="644">
        <f>C72-D72</f>
        <v>0</v>
      </c>
      <c r="F72" s="644"/>
      <c r="G72" s="644">
        <f>C72-F72</f>
        <v>0</v>
      </c>
      <c r="H72" s="644">
        <f>C33</f>
        <v>0</v>
      </c>
      <c r="I72" s="644"/>
      <c r="J72" s="644"/>
      <c r="K72" s="605"/>
      <c r="L72" s="606"/>
      <c r="M72" s="606"/>
      <c r="N72" s="606"/>
      <c r="O72" s="606"/>
    </row>
    <row r="73" spans="2:15" ht="12.75">
      <c r="B73" s="645" t="s">
        <v>323</v>
      </c>
      <c r="C73" s="646">
        <f>D57</f>
        <v>96</v>
      </c>
      <c r="D73" s="646">
        <v>75</v>
      </c>
      <c r="E73" s="646">
        <f>C73-D73</f>
        <v>21</v>
      </c>
      <c r="F73" s="646">
        <f>C73</f>
        <v>96</v>
      </c>
      <c r="G73" s="646">
        <f>C73-F73</f>
        <v>0</v>
      </c>
      <c r="H73" s="646">
        <v>579</v>
      </c>
      <c r="I73" s="646">
        <f>H73-J73</f>
        <v>579</v>
      </c>
      <c r="J73" s="646">
        <f>ROUND(H73*$E$50,0)</f>
        <v>0</v>
      </c>
      <c r="K73" s="647">
        <f>SUM(L73:O73)</f>
        <v>667.008</v>
      </c>
      <c r="L73" s="648">
        <f>ROUND(D73*I73*12/1000,4)</f>
        <v>521.1</v>
      </c>
      <c r="M73" s="648">
        <f aca="true" t="shared" si="2" ref="M73:N75">ROUND(E73*I73*12/1000,4)</f>
        <v>145.908</v>
      </c>
      <c r="N73" s="648">
        <f t="shared" si="2"/>
        <v>0</v>
      </c>
      <c r="O73" s="648">
        <f>ROUND(G73*J73*12/1000,4)</f>
        <v>0</v>
      </c>
    </row>
    <row r="74" spans="2:15" ht="12.75">
      <c r="B74" s="645" t="s">
        <v>324</v>
      </c>
      <c r="C74" s="646">
        <f>D58</f>
        <v>84</v>
      </c>
      <c r="D74" s="646">
        <v>75</v>
      </c>
      <c r="E74" s="646">
        <f>C74-D74</f>
        <v>9</v>
      </c>
      <c r="F74" s="646">
        <f>C74</f>
        <v>84</v>
      </c>
      <c r="G74" s="646">
        <f>C74-F74</f>
        <v>0</v>
      </c>
      <c r="H74" s="646">
        <v>277</v>
      </c>
      <c r="I74" s="646">
        <v>277</v>
      </c>
      <c r="J74" s="646">
        <v>0</v>
      </c>
      <c r="K74" s="647">
        <f>SUM(L74:O74)</f>
        <v>279.216</v>
      </c>
      <c r="L74" s="648">
        <f>ROUND(D74*I74*12/1000,4)</f>
        <v>249.3</v>
      </c>
      <c r="M74" s="648">
        <f t="shared" si="2"/>
        <v>29.916</v>
      </c>
      <c r="N74" s="648">
        <f t="shared" si="2"/>
        <v>0</v>
      </c>
      <c r="O74" s="648">
        <f>ROUND(G74*J74*12/1000,4)</f>
        <v>0</v>
      </c>
    </row>
    <row r="75" spans="2:15" ht="12.75">
      <c r="B75" s="643" t="s">
        <v>325</v>
      </c>
      <c r="C75" s="644">
        <f>D59</f>
        <v>0</v>
      </c>
      <c r="D75" s="644">
        <v>75</v>
      </c>
      <c r="E75" s="644">
        <f>C75-D75</f>
        <v>-75</v>
      </c>
      <c r="F75" s="644"/>
      <c r="G75" s="644">
        <f>C75-F75</f>
        <v>0</v>
      </c>
      <c r="H75" s="644">
        <f>C45</f>
        <v>0</v>
      </c>
      <c r="I75" s="644" t="e">
        <f>H75-J75</f>
        <v>#DIV/0!</v>
      </c>
      <c r="J75" s="644" t="e">
        <f>ROUND(H75*$E$52,0)</f>
        <v>#DIV/0!</v>
      </c>
      <c r="K75" s="605" t="e">
        <f>SUM(L75:O75)</f>
        <v>#DIV/0!</v>
      </c>
      <c r="L75" s="606" t="e">
        <f>ROUND(D75*I75*12/1000,4)</f>
        <v>#DIV/0!</v>
      </c>
      <c r="M75" s="606" t="e">
        <f t="shared" si="2"/>
        <v>#DIV/0!</v>
      </c>
      <c r="N75" s="606" t="e">
        <f t="shared" si="2"/>
        <v>#DIV/0!</v>
      </c>
      <c r="O75" s="606" t="e">
        <f>ROUND(G75*J75*12/1000,4)</f>
        <v>#DIV/0!</v>
      </c>
    </row>
    <row r="76" spans="1:15" s="625" customFormat="1" ht="12.75">
      <c r="A76" s="623"/>
      <c r="B76" s="641" t="s">
        <v>369</v>
      </c>
      <c r="C76" s="642" t="e">
        <f>ROUND(K76/H76/12*1000,8)</f>
        <v>#DIV/0!</v>
      </c>
      <c r="D76" s="344"/>
      <c r="E76" s="642"/>
      <c r="F76" s="344"/>
      <c r="G76" s="344"/>
      <c r="H76" s="344">
        <f aca="true" t="shared" si="3" ref="H76:O76">SUM(H77:H80)</f>
        <v>0</v>
      </c>
      <c r="I76" s="344" t="e">
        <f t="shared" si="3"/>
        <v>#DIV/0!</v>
      </c>
      <c r="J76" s="344" t="e">
        <f t="shared" si="3"/>
        <v>#DIV/0!</v>
      </c>
      <c r="K76" s="354" t="e">
        <f t="shared" si="3"/>
        <v>#DIV/0!</v>
      </c>
      <c r="L76" s="354" t="e">
        <f t="shared" si="3"/>
        <v>#DIV/0!</v>
      </c>
      <c r="M76" s="354" t="e">
        <f t="shared" si="3"/>
        <v>#DIV/0!</v>
      </c>
      <c r="N76" s="354" t="e">
        <f t="shared" si="3"/>
        <v>#DIV/0!</v>
      </c>
      <c r="O76" s="354" t="e">
        <f t="shared" si="3"/>
        <v>#DIV/0!</v>
      </c>
    </row>
    <row r="77" spans="2:15" ht="12.75">
      <c r="B77" s="643" t="s">
        <v>367</v>
      </c>
      <c r="C77" s="644">
        <f>E56</f>
        <v>0</v>
      </c>
      <c r="D77" s="644">
        <v>75</v>
      </c>
      <c r="E77" s="644">
        <f>C77-D77</f>
        <v>-75</v>
      </c>
      <c r="F77" s="644"/>
      <c r="G77" s="644">
        <f>C77-F77</f>
        <v>0</v>
      </c>
      <c r="H77" s="644">
        <f>C34</f>
        <v>0</v>
      </c>
      <c r="I77" s="644" t="e">
        <f>H77-J77</f>
        <v>#DIV/0!</v>
      </c>
      <c r="J77" s="644" t="e">
        <f>C49-J67-J72</f>
        <v>#DIV/0!</v>
      </c>
      <c r="K77" s="605" t="e">
        <f>SUM(L77:O77)</f>
        <v>#DIV/0!</v>
      </c>
      <c r="L77" s="606" t="e">
        <f>ROUND(D77*I77*12/1000,4)</f>
        <v>#DIV/0!</v>
      </c>
      <c r="M77" s="606" t="e">
        <f aca="true" t="shared" si="4" ref="M77:N80">ROUND(E77*I77*12/1000,4)</f>
        <v>#DIV/0!</v>
      </c>
      <c r="N77" s="606" t="e">
        <f t="shared" si="4"/>
        <v>#DIV/0!</v>
      </c>
      <c r="O77" s="606" t="e">
        <f>ROUND(G77*J77*12/1000,4)</f>
        <v>#DIV/0!</v>
      </c>
    </row>
    <row r="78" spans="2:15" ht="12.75">
      <c r="B78" s="643" t="s">
        <v>323</v>
      </c>
      <c r="C78" s="644">
        <f>E57</f>
        <v>0</v>
      </c>
      <c r="D78" s="644">
        <v>75</v>
      </c>
      <c r="E78" s="644">
        <f>C78-D78</f>
        <v>-75</v>
      </c>
      <c r="F78" s="644"/>
      <c r="G78" s="644">
        <f>C78-F78</f>
        <v>0</v>
      </c>
      <c r="H78" s="644">
        <f>C38</f>
        <v>0</v>
      </c>
      <c r="I78" s="644">
        <f>H78-J78</f>
        <v>0</v>
      </c>
      <c r="J78" s="644">
        <f>C50-J68-J73</f>
        <v>0</v>
      </c>
      <c r="K78" s="605">
        <f>SUM(L78:O78)</f>
        <v>0</v>
      </c>
      <c r="L78" s="606">
        <f>ROUND(D78*I78*12/1000,4)</f>
        <v>0</v>
      </c>
      <c r="M78" s="606">
        <f t="shared" si="4"/>
        <v>0</v>
      </c>
      <c r="N78" s="606">
        <f t="shared" si="4"/>
        <v>0</v>
      </c>
      <c r="O78" s="606">
        <f>ROUND(G78*J78*12/1000,4)</f>
        <v>0</v>
      </c>
    </row>
    <row r="79" spans="2:15" ht="12.75">
      <c r="B79" s="643" t="s">
        <v>324</v>
      </c>
      <c r="C79" s="644">
        <f>E58</f>
        <v>0</v>
      </c>
      <c r="D79" s="644">
        <v>75</v>
      </c>
      <c r="E79" s="644">
        <f>C79-D79</f>
        <v>-75</v>
      </c>
      <c r="F79" s="644"/>
      <c r="G79" s="644">
        <f>C79-F79</f>
        <v>0</v>
      </c>
      <c r="H79" s="644">
        <f>C42</f>
        <v>0</v>
      </c>
      <c r="I79" s="644">
        <f>H79-J79</f>
        <v>0</v>
      </c>
      <c r="J79" s="644">
        <f>C51-J69-J74</f>
        <v>0</v>
      </c>
      <c r="K79" s="605">
        <f>SUM(L79:O79)</f>
        <v>0</v>
      </c>
      <c r="L79" s="606">
        <f>ROUND(D79*I79*12/1000,4)</f>
        <v>0</v>
      </c>
      <c r="M79" s="606">
        <f t="shared" si="4"/>
        <v>0</v>
      </c>
      <c r="N79" s="606">
        <f t="shared" si="4"/>
        <v>0</v>
      </c>
      <c r="O79" s="606">
        <f>ROUND(G79*J79*12/1000,4)</f>
        <v>0</v>
      </c>
    </row>
    <row r="80" spans="2:15" ht="12.75">
      <c r="B80" s="643" t="s">
        <v>325</v>
      </c>
      <c r="C80" s="644">
        <f>E59</f>
        <v>0</v>
      </c>
      <c r="D80" s="644">
        <v>75</v>
      </c>
      <c r="E80" s="644">
        <f>C80-D80</f>
        <v>-75</v>
      </c>
      <c r="F80" s="644"/>
      <c r="G80" s="644">
        <f>C80-F80</f>
        <v>0</v>
      </c>
      <c r="H80" s="644">
        <f>C46</f>
        <v>0</v>
      </c>
      <c r="I80" s="644" t="e">
        <f>H80-J80</f>
        <v>#DIV/0!</v>
      </c>
      <c r="J80" s="644" t="e">
        <f>C52-J70-J75</f>
        <v>#DIV/0!</v>
      </c>
      <c r="K80" s="605" t="e">
        <f>SUM(L80:O80)</f>
        <v>#DIV/0!</v>
      </c>
      <c r="L80" s="606" t="e">
        <f>ROUND(D80*I80*12/1000,4)</f>
        <v>#DIV/0!</v>
      </c>
      <c r="M80" s="606" t="e">
        <f t="shared" si="4"/>
        <v>#DIV/0!</v>
      </c>
      <c r="N80" s="606" t="e">
        <f t="shared" si="4"/>
        <v>#DIV/0!</v>
      </c>
      <c r="O80" s="606" t="e">
        <f>ROUND(G80*J80*12/1000,4)</f>
        <v>#DIV/0!</v>
      </c>
    </row>
  </sheetData>
  <sheetProtection selectLockedCells="1" selectUnlockedCells="1"/>
  <mergeCells count="23">
    <mergeCell ref="B62:B65"/>
    <mergeCell ref="C62:G62"/>
    <mergeCell ref="A2:H2"/>
    <mergeCell ref="C3:E3"/>
    <mergeCell ref="C4:E4"/>
    <mergeCell ref="E33:E34"/>
    <mergeCell ref="C63:C65"/>
    <mergeCell ref="I64:I65"/>
    <mergeCell ref="J64:J65"/>
    <mergeCell ref="L64:M64"/>
    <mergeCell ref="E37:E38"/>
    <mergeCell ref="E41:E42"/>
    <mergeCell ref="E45:E46"/>
    <mergeCell ref="N64:O64"/>
    <mergeCell ref="H62:J62"/>
    <mergeCell ref="K62:O62"/>
    <mergeCell ref="D63:G63"/>
    <mergeCell ref="H63:H65"/>
    <mergeCell ref="I63:J63"/>
    <mergeCell ref="K63:K65"/>
    <mergeCell ref="L63:O63"/>
    <mergeCell ref="D64:E64"/>
    <mergeCell ref="F64:G64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1" r:id="rId1"/>
  <rowBreaks count="1" manualBreakCount="1">
    <brk id="5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80"/>
  <sheetViews>
    <sheetView view="pageBreakPreview" zoomScale="86" zoomScaleNormal="90" zoomScaleSheetLayoutView="86" zoomScalePageLayoutView="0" workbookViewId="0" topLeftCell="A1">
      <selection activeCell="I74" sqref="I74"/>
    </sheetView>
  </sheetViews>
  <sheetFormatPr defaultColWidth="11.625" defaultRowHeight="12.75"/>
  <cols>
    <col min="1" max="1" width="3.625" style="0" customWidth="1"/>
    <col min="2" max="2" width="36.25390625" style="0" customWidth="1"/>
  </cols>
  <sheetData>
    <row r="1" spans="1:15" ht="12.75">
      <c r="A1" s="607"/>
      <c r="B1" s="414"/>
      <c r="C1" s="414"/>
      <c r="D1" s="414"/>
      <c r="E1" s="414"/>
      <c r="F1" s="414"/>
      <c r="G1" s="414" t="s">
        <v>370</v>
      </c>
      <c r="H1" s="414"/>
      <c r="I1" s="414"/>
      <c r="J1" s="414"/>
      <c r="K1" s="414"/>
      <c r="L1" s="414"/>
      <c r="M1" s="414"/>
      <c r="N1" s="414"/>
      <c r="O1" s="414"/>
    </row>
    <row r="2" spans="1:15" ht="14.25">
      <c r="A2" s="968" t="s">
        <v>371</v>
      </c>
      <c r="B2" s="968"/>
      <c r="C2" s="968"/>
      <c r="D2" s="968"/>
      <c r="E2" s="968"/>
      <c r="F2" s="968"/>
      <c r="G2" s="968"/>
      <c r="H2" s="968"/>
      <c r="I2" s="414"/>
      <c r="J2" s="414"/>
      <c r="K2" s="414"/>
      <c r="L2" s="414"/>
      <c r="M2" s="414"/>
      <c r="N2" s="414"/>
      <c r="O2" s="414"/>
    </row>
    <row r="3" spans="1:15" ht="15.75" customHeight="1">
      <c r="A3" s="608"/>
      <c r="B3" s="608"/>
      <c r="C3" s="969" t="s">
        <v>372</v>
      </c>
      <c r="D3" s="969"/>
      <c r="E3" s="969"/>
      <c r="F3" s="608"/>
      <c r="G3" s="608"/>
      <c r="H3" s="608"/>
      <c r="I3" s="414"/>
      <c r="J3" s="414"/>
      <c r="K3" s="414"/>
      <c r="L3" s="414"/>
      <c r="M3" s="414"/>
      <c r="N3" s="414"/>
      <c r="O3" s="414"/>
    </row>
    <row r="4" spans="1:15" ht="15.75" customHeight="1">
      <c r="A4" s="608"/>
      <c r="B4" s="608"/>
      <c r="C4" s="970" t="s">
        <v>373</v>
      </c>
      <c r="D4" s="970"/>
      <c r="E4" s="970"/>
      <c r="F4" s="608"/>
      <c r="G4" s="608"/>
      <c r="H4" s="608"/>
      <c r="I4" s="414"/>
      <c r="J4" s="414"/>
      <c r="K4" s="414"/>
      <c r="L4" s="414"/>
      <c r="M4" s="414"/>
      <c r="N4" s="414"/>
      <c r="O4" s="414"/>
    </row>
    <row r="5" spans="1:15" ht="12.75">
      <c r="A5" s="607"/>
      <c r="B5" s="414"/>
      <c r="C5" s="414"/>
      <c r="D5" s="414"/>
      <c r="E5" s="607" t="s">
        <v>309</v>
      </c>
      <c r="F5" s="414"/>
      <c r="G5" s="414"/>
      <c r="H5" s="414"/>
      <c r="I5" s="414"/>
      <c r="J5" s="414"/>
      <c r="K5" s="414"/>
      <c r="L5" s="414"/>
      <c r="M5" s="414"/>
      <c r="N5" s="414"/>
      <c r="O5" s="414"/>
    </row>
    <row r="6" spans="1:15" ht="25.5">
      <c r="A6" s="609" t="s">
        <v>310</v>
      </c>
      <c r="B6" s="610" t="s">
        <v>311</v>
      </c>
      <c r="C6" s="611">
        <v>18.424</v>
      </c>
      <c r="D6" s="612" t="s">
        <v>34</v>
      </c>
      <c r="E6" s="612">
        <v>1</v>
      </c>
      <c r="F6" s="612"/>
      <c r="G6" s="612"/>
      <c r="H6" s="612"/>
      <c r="I6" s="612"/>
      <c r="J6" s="612"/>
      <c r="K6" s="612"/>
      <c r="L6" s="612"/>
      <c r="M6" s="612"/>
      <c r="N6" s="612"/>
      <c r="O6" s="612"/>
    </row>
    <row r="7" spans="1:15" ht="15.75">
      <c r="A7" s="607"/>
      <c r="B7" s="414" t="s">
        <v>312</v>
      </c>
      <c r="C7" s="613"/>
      <c r="D7" s="414" t="s">
        <v>34</v>
      </c>
      <c r="E7" s="414">
        <f>ROUND(C7/C6,3)</f>
        <v>0</v>
      </c>
      <c r="F7" s="414"/>
      <c r="G7" s="414"/>
      <c r="H7" s="414"/>
      <c r="I7" s="614"/>
      <c r="J7" s="615" t="s">
        <v>313</v>
      </c>
      <c r="K7" s="415"/>
      <c r="L7" s="415"/>
      <c r="M7" s="415"/>
      <c r="N7" s="415"/>
      <c r="O7" s="414"/>
    </row>
    <row r="8" spans="1:15" ht="15.75">
      <c r="A8" s="607"/>
      <c r="B8" s="616" t="s">
        <v>314</v>
      </c>
      <c r="C8" s="613">
        <v>18.424</v>
      </c>
      <c r="D8" s="414" t="s">
        <v>34</v>
      </c>
      <c r="E8" s="414">
        <f>ROUND(C8/C6,3)</f>
        <v>1</v>
      </c>
      <c r="F8" s="414"/>
      <c r="G8" s="414"/>
      <c r="H8" s="414"/>
      <c r="I8" s="415"/>
      <c r="J8" s="617"/>
      <c r="K8" s="415"/>
      <c r="L8" s="415"/>
      <c r="M8" s="415"/>
      <c r="N8" s="415"/>
      <c r="O8" s="414"/>
    </row>
    <row r="9" spans="1:15" ht="15.75">
      <c r="A9" s="607"/>
      <c r="B9" s="616" t="s">
        <v>315</v>
      </c>
      <c r="C9" s="613"/>
      <c r="D9" s="414" t="s">
        <v>34</v>
      </c>
      <c r="E9" s="414">
        <f>ROUND(C9/C6,3)</f>
        <v>0</v>
      </c>
      <c r="F9" s="414"/>
      <c r="G9" s="414"/>
      <c r="H9" s="414"/>
      <c r="I9" s="618"/>
      <c r="J9" s="615" t="s">
        <v>316</v>
      </c>
      <c r="K9" s="415"/>
      <c r="L9" s="415"/>
      <c r="M9" s="415"/>
      <c r="N9" s="415"/>
      <c r="O9" s="414"/>
    </row>
    <row r="10" spans="1:15" ht="12.75">
      <c r="A10" s="607"/>
      <c r="B10" s="616" t="s">
        <v>317</v>
      </c>
      <c r="C10" s="613"/>
      <c r="D10" s="414" t="s">
        <v>34</v>
      </c>
      <c r="E10" s="414">
        <f>E6-E7-E8-E9</f>
        <v>0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.75">
      <c r="A11" s="607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</row>
    <row r="12" spans="1:15" ht="25.5">
      <c r="A12" s="609" t="s">
        <v>318</v>
      </c>
      <c r="B12" s="619" t="s">
        <v>319</v>
      </c>
      <c r="C12" s="611">
        <v>856</v>
      </c>
      <c r="D12" s="612" t="s">
        <v>176</v>
      </c>
      <c r="E12" s="612"/>
      <c r="F12" s="620" t="s">
        <v>320</v>
      </c>
      <c r="G12" s="621">
        <f>ROUND(C6/C12*1000,1)</f>
        <v>21.5</v>
      </c>
      <c r="H12" s="612" t="s">
        <v>321</v>
      </c>
      <c r="I12" s="612"/>
      <c r="J12" s="612"/>
      <c r="K12" s="612"/>
      <c r="L12" s="612"/>
      <c r="M12" s="612"/>
      <c r="N12" s="612"/>
      <c r="O12" s="612"/>
    </row>
    <row r="13" spans="1:15" ht="12.75">
      <c r="A13" s="607"/>
      <c r="B13" s="414" t="s">
        <v>322</v>
      </c>
      <c r="C13" s="622">
        <f>ROUND(C7/G12*1000,0)</f>
        <v>0</v>
      </c>
      <c r="D13" s="414" t="s">
        <v>176</v>
      </c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.75">
      <c r="A14" s="607"/>
      <c r="B14" s="616" t="s">
        <v>323</v>
      </c>
      <c r="C14" s="622">
        <v>579</v>
      </c>
      <c r="D14" s="414" t="s">
        <v>176</v>
      </c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.75">
      <c r="A15" s="607"/>
      <c r="B15" s="616" t="s">
        <v>324</v>
      </c>
      <c r="C15" s="622">
        <v>277</v>
      </c>
      <c r="D15" s="414" t="s">
        <v>176</v>
      </c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.75">
      <c r="A16" s="607"/>
      <c r="B16" s="616" t="s">
        <v>325</v>
      </c>
      <c r="C16" s="622">
        <f>C12-C13-C14-C15</f>
        <v>0</v>
      </c>
      <c r="D16" s="414" t="s">
        <v>176</v>
      </c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</row>
    <row r="17" spans="1:15" ht="12.75">
      <c r="A17" s="607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.75">
      <c r="A18" s="623" t="s">
        <v>326</v>
      </c>
      <c r="B18" s="624" t="s">
        <v>327</v>
      </c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</row>
    <row r="19" spans="1:15" ht="12.75">
      <c r="A19" s="607"/>
      <c r="B19" s="414" t="s">
        <v>322</v>
      </c>
      <c r="C19" s="613"/>
      <c r="D19" s="414" t="s">
        <v>328</v>
      </c>
      <c r="E19" s="626" t="s">
        <v>329</v>
      </c>
      <c r="F19" s="414"/>
      <c r="G19" s="414"/>
      <c r="H19" s="414"/>
      <c r="I19" s="414"/>
      <c r="J19" s="414"/>
      <c r="K19" s="414"/>
      <c r="L19" s="414"/>
      <c r="M19" s="414"/>
      <c r="N19" s="414"/>
      <c r="O19" s="414"/>
    </row>
    <row r="20" spans="1:15" ht="12.75">
      <c r="A20" s="607"/>
      <c r="B20" s="616" t="s">
        <v>323</v>
      </c>
      <c r="C20" s="613">
        <v>2</v>
      </c>
      <c r="D20" s="414" t="s">
        <v>328</v>
      </c>
      <c r="E20" s="626" t="s">
        <v>329</v>
      </c>
      <c r="F20" s="414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.75">
      <c r="A21" s="607"/>
      <c r="B21" s="616" t="s">
        <v>324</v>
      </c>
      <c r="C21" s="613">
        <v>3</v>
      </c>
      <c r="D21" s="414" t="s">
        <v>328</v>
      </c>
      <c r="E21" s="626" t="s">
        <v>329</v>
      </c>
      <c r="F21" s="414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.75">
      <c r="A22" s="607"/>
      <c r="B22" s="616" t="s">
        <v>325</v>
      </c>
      <c r="C22" s="613"/>
      <c r="D22" s="414" t="s">
        <v>328</v>
      </c>
      <c r="E22" s="626" t="s">
        <v>329</v>
      </c>
      <c r="F22" s="414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.75">
      <c r="A23" s="607"/>
      <c r="B23" s="616"/>
      <c r="C23" s="414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.75">
      <c r="A24" s="607"/>
      <c r="B24" s="627"/>
      <c r="C24" s="414"/>
      <c r="D24" s="414"/>
      <c r="E24" s="607" t="s">
        <v>330</v>
      </c>
      <c r="F24" s="607" t="s">
        <v>309</v>
      </c>
      <c r="G24" s="414"/>
      <c r="H24" s="414"/>
      <c r="I24" s="414"/>
      <c r="J24" s="414"/>
      <c r="K24" s="414"/>
      <c r="L24" s="414"/>
      <c r="M24" s="414"/>
      <c r="N24" s="414"/>
      <c r="O24" s="414"/>
    </row>
    <row r="25" spans="1:15" ht="12.75">
      <c r="A25" s="623" t="s">
        <v>331</v>
      </c>
      <c r="B25" s="625" t="s">
        <v>332</v>
      </c>
      <c r="C25" s="628">
        <f>C6</f>
        <v>18.424</v>
      </c>
      <c r="D25" s="625" t="s">
        <v>34</v>
      </c>
      <c r="E25" s="628">
        <f>C12</f>
        <v>856</v>
      </c>
      <c r="F25" s="628">
        <v>1</v>
      </c>
      <c r="G25" s="625"/>
      <c r="H25" s="625"/>
      <c r="I25" s="625"/>
      <c r="J25" s="625"/>
      <c r="K25" s="625"/>
      <c r="L25" s="625"/>
      <c r="M25" s="625"/>
      <c r="N25" s="625"/>
      <c r="O25" s="625"/>
    </row>
    <row r="26" spans="1:15" ht="12.75">
      <c r="A26" s="607"/>
      <c r="B26" s="414" t="s">
        <v>333</v>
      </c>
      <c r="C26" s="613"/>
      <c r="D26" s="414" t="s">
        <v>34</v>
      </c>
      <c r="E26" s="622">
        <f>ROUND(C26/G12*1000,0)</f>
        <v>0</v>
      </c>
      <c r="F26" s="622">
        <f>ROUND(E26/E25,3)</f>
        <v>0</v>
      </c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.75">
      <c r="A27" s="607"/>
      <c r="B27" s="414" t="s">
        <v>334</v>
      </c>
      <c r="C27" s="613"/>
      <c r="D27" s="414" t="s">
        <v>34</v>
      </c>
      <c r="E27" s="622">
        <f>ROUND(C27/G12*1000,0)</f>
        <v>0</v>
      </c>
      <c r="F27" s="622">
        <f>ROUND(E27/E25,3)</f>
        <v>0</v>
      </c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.75">
      <c r="A28" s="607"/>
      <c r="B28" s="414" t="s">
        <v>335</v>
      </c>
      <c r="C28" s="629">
        <f>C25-C26-C27</f>
        <v>18.424</v>
      </c>
      <c r="D28" s="414" t="s">
        <v>34</v>
      </c>
      <c r="E28" s="622">
        <f>E25-E26-E27</f>
        <v>856</v>
      </c>
      <c r="F28" s="622">
        <f>F25-F26-F27</f>
        <v>1</v>
      </c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.75">
      <c r="A29" s="607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25.5">
      <c r="A30" s="609" t="s">
        <v>336</v>
      </c>
      <c r="B30" s="619" t="s">
        <v>337</v>
      </c>
      <c r="C30" s="630">
        <f>C12</f>
        <v>856</v>
      </c>
      <c r="D30" s="612" t="s">
        <v>176</v>
      </c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</row>
    <row r="31" spans="1:15" ht="12.75">
      <c r="A31" s="607"/>
      <c r="B31" s="414" t="s">
        <v>322</v>
      </c>
      <c r="C31" s="622">
        <f>C13</f>
        <v>0</v>
      </c>
      <c r="D31" s="414" t="s">
        <v>176</v>
      </c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.75">
      <c r="A32" s="607"/>
      <c r="B32" s="631" t="s">
        <v>338</v>
      </c>
      <c r="C32" s="632">
        <f>ROUND(C31*$F$26,0)</f>
        <v>0</v>
      </c>
      <c r="D32" s="633" t="s">
        <v>176</v>
      </c>
      <c r="E32" s="607" t="s">
        <v>339</v>
      </c>
      <c r="F32" s="414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.75">
      <c r="A33" s="607"/>
      <c r="B33" s="631" t="s">
        <v>340</v>
      </c>
      <c r="C33" s="632">
        <f>ROUND(C31*$F$27,0)</f>
        <v>0</v>
      </c>
      <c r="D33" s="633" t="s">
        <v>176</v>
      </c>
      <c r="E33" s="966">
        <f>C33+C34</f>
        <v>0</v>
      </c>
      <c r="F33" s="414"/>
      <c r="G33" s="414"/>
      <c r="H33" s="414"/>
      <c r="I33" s="414"/>
      <c r="J33" s="414"/>
      <c r="K33" s="414"/>
      <c r="L33" s="414"/>
      <c r="M33" s="414"/>
      <c r="N33" s="414"/>
      <c r="O33" s="414"/>
    </row>
    <row r="34" spans="1:15" ht="12.75">
      <c r="A34" s="607"/>
      <c r="B34" s="631" t="s">
        <v>341</v>
      </c>
      <c r="C34" s="632">
        <f>C31-C32-C33</f>
        <v>0</v>
      </c>
      <c r="D34" s="633" t="s">
        <v>176</v>
      </c>
      <c r="E34" s="966"/>
      <c r="F34" s="414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.75">
      <c r="A35" s="607"/>
      <c r="B35" s="616" t="s">
        <v>323</v>
      </c>
      <c r="C35" s="622">
        <f>C14</f>
        <v>579</v>
      </c>
      <c r="D35" s="414" t="s">
        <v>176</v>
      </c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.75">
      <c r="A36" s="607"/>
      <c r="B36" s="631" t="s">
        <v>338</v>
      </c>
      <c r="C36" s="632">
        <f>ROUND(C35*$F$26,0)</f>
        <v>0</v>
      </c>
      <c r="D36" s="633" t="s">
        <v>176</v>
      </c>
      <c r="E36" s="607" t="s">
        <v>339</v>
      </c>
      <c r="F36" s="414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.75">
      <c r="A37" s="607"/>
      <c r="B37" s="631" t="s">
        <v>340</v>
      </c>
      <c r="C37" s="632">
        <v>579</v>
      </c>
      <c r="D37" s="633" t="s">
        <v>176</v>
      </c>
      <c r="E37" s="966">
        <f>C37+C38</f>
        <v>579</v>
      </c>
      <c r="F37" s="414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.75">
      <c r="A38" s="607"/>
      <c r="B38" s="631" t="s">
        <v>341</v>
      </c>
      <c r="C38" s="632">
        <f>C35-C36-C37</f>
        <v>0</v>
      </c>
      <c r="D38" s="633" t="s">
        <v>176</v>
      </c>
      <c r="E38" s="966"/>
      <c r="F38" s="414"/>
      <c r="G38" s="414"/>
      <c r="H38" s="414"/>
      <c r="I38" s="414"/>
      <c r="J38" s="414"/>
      <c r="K38" s="414"/>
      <c r="L38" s="414"/>
      <c r="M38" s="414"/>
      <c r="N38" s="414"/>
      <c r="O38" s="414"/>
    </row>
    <row r="39" spans="1:15" ht="12.75">
      <c r="A39" s="607"/>
      <c r="B39" s="616" t="s">
        <v>324</v>
      </c>
      <c r="C39" s="622">
        <f>C15</f>
        <v>277</v>
      </c>
      <c r="D39" s="414" t="s">
        <v>176</v>
      </c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.75">
      <c r="A40" s="607"/>
      <c r="B40" s="631" t="s">
        <v>338</v>
      </c>
      <c r="C40" s="632">
        <f>ROUND(C39*$F$26,0)</f>
        <v>0</v>
      </c>
      <c r="D40" s="634" t="s">
        <v>176</v>
      </c>
      <c r="E40" s="607" t="s">
        <v>339</v>
      </c>
      <c r="F40" s="414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.75">
      <c r="A41" s="607"/>
      <c r="B41" s="631" t="s">
        <v>340</v>
      </c>
      <c r="C41" s="632">
        <v>277</v>
      </c>
      <c r="D41" s="634" t="s">
        <v>176</v>
      </c>
      <c r="E41" s="966">
        <f>C41+C42</f>
        <v>277</v>
      </c>
      <c r="F41" s="414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.75">
      <c r="A42" s="607"/>
      <c r="B42" s="631" t="s">
        <v>341</v>
      </c>
      <c r="C42" s="632">
        <f>C39-C40-C41</f>
        <v>0</v>
      </c>
      <c r="D42" s="634" t="s">
        <v>176</v>
      </c>
      <c r="E42" s="966"/>
      <c r="F42" s="414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.75">
      <c r="A43" s="607"/>
      <c r="B43" s="616" t="s">
        <v>325</v>
      </c>
      <c r="C43" s="622">
        <f>C30-C31-C35-C39</f>
        <v>0</v>
      </c>
      <c r="D43" s="414" t="s">
        <v>176</v>
      </c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</row>
    <row r="44" spans="1:15" ht="12.75">
      <c r="A44" s="607"/>
      <c r="B44" s="631" t="s">
        <v>338</v>
      </c>
      <c r="C44" s="632">
        <f>ROUND(C43*$F$26,0)</f>
        <v>0</v>
      </c>
      <c r="D44" s="634" t="s">
        <v>176</v>
      </c>
      <c r="E44" s="607" t="s">
        <v>339</v>
      </c>
      <c r="F44" s="414"/>
      <c r="G44" s="414"/>
      <c r="H44" s="414"/>
      <c r="I44" s="414"/>
      <c r="J44" s="414"/>
      <c r="K44" s="414"/>
      <c r="L44" s="414"/>
      <c r="M44" s="414"/>
      <c r="N44" s="414"/>
      <c r="O44" s="414"/>
    </row>
    <row r="45" spans="1:15" ht="12.75">
      <c r="A45" s="607"/>
      <c r="B45" s="631" t="s">
        <v>340</v>
      </c>
      <c r="C45" s="632">
        <f>ROUND(C43*$F$27,0)</f>
        <v>0</v>
      </c>
      <c r="D45" s="634" t="s">
        <v>176</v>
      </c>
      <c r="E45" s="966">
        <f>C45+C46</f>
        <v>0</v>
      </c>
      <c r="F45" s="414"/>
      <c r="G45" s="414"/>
      <c r="H45" s="414"/>
      <c r="I45" s="414"/>
      <c r="J45" s="414"/>
      <c r="K45" s="414"/>
      <c r="L45" s="414"/>
      <c r="M45" s="414"/>
      <c r="N45" s="414"/>
      <c r="O45" s="414"/>
    </row>
    <row r="46" spans="1:15" ht="12.75">
      <c r="A46" s="607"/>
      <c r="B46" s="631" t="s">
        <v>341</v>
      </c>
      <c r="C46" s="632">
        <f>C43-C44-C45</f>
        <v>0</v>
      </c>
      <c r="D46" s="634" t="s">
        <v>176</v>
      </c>
      <c r="E46" s="966"/>
      <c r="F46" s="414"/>
      <c r="G46" s="414"/>
      <c r="H46" s="414"/>
      <c r="I46" s="414"/>
      <c r="J46" s="414"/>
      <c r="K46" s="414"/>
      <c r="L46" s="414"/>
      <c r="M46" s="414"/>
      <c r="N46" s="414"/>
      <c r="O46" s="414"/>
    </row>
    <row r="47" spans="1:15" ht="12.75">
      <c r="A47" s="607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ht="25.5">
      <c r="A48" s="609" t="s">
        <v>342</v>
      </c>
      <c r="B48" s="610" t="s">
        <v>343</v>
      </c>
      <c r="C48" s="611"/>
      <c r="D48" s="612" t="s">
        <v>176</v>
      </c>
      <c r="E48" s="635" t="s">
        <v>309</v>
      </c>
      <c r="F48" s="636" t="s">
        <v>329</v>
      </c>
      <c r="G48" s="612"/>
      <c r="H48" s="612"/>
      <c r="I48" s="612"/>
      <c r="J48" s="612"/>
      <c r="K48" s="612"/>
      <c r="L48" s="612"/>
      <c r="M48" s="612"/>
      <c r="N48" s="612"/>
      <c r="O48" s="612"/>
    </row>
    <row r="49" spans="1:15" ht="12.75">
      <c r="A49" s="607"/>
      <c r="B49" s="414" t="s">
        <v>322</v>
      </c>
      <c r="C49" s="613"/>
      <c r="D49" s="414" t="s">
        <v>176</v>
      </c>
      <c r="E49" s="622" t="e">
        <f>ROUND(C49/C31,3)</f>
        <v>#DIV/0!</v>
      </c>
      <c r="F49" s="636" t="s">
        <v>329</v>
      </c>
      <c r="G49" s="414"/>
      <c r="H49" s="414"/>
      <c r="I49" s="414"/>
      <c r="J49" s="414"/>
      <c r="K49" s="414"/>
      <c r="L49" s="414"/>
      <c r="M49" s="414"/>
      <c r="N49" s="414"/>
      <c r="O49" s="414"/>
    </row>
    <row r="50" spans="1:15" ht="12.75">
      <c r="A50" s="607"/>
      <c r="B50" s="616" t="s">
        <v>323</v>
      </c>
      <c r="C50" s="613"/>
      <c r="D50" s="414" t="s">
        <v>328</v>
      </c>
      <c r="E50" s="622">
        <f>ROUND(C50/C35,3)</f>
        <v>0</v>
      </c>
      <c r="F50" s="636" t="s">
        <v>329</v>
      </c>
      <c r="G50" s="414"/>
      <c r="H50" s="414"/>
      <c r="I50" s="414"/>
      <c r="J50" s="414"/>
      <c r="K50" s="414"/>
      <c r="L50" s="414"/>
      <c r="M50" s="414"/>
      <c r="N50" s="414"/>
      <c r="O50" s="414"/>
    </row>
    <row r="51" spans="1:15" ht="12.75">
      <c r="A51" s="607"/>
      <c r="B51" s="616" t="s">
        <v>324</v>
      </c>
      <c r="C51" s="613"/>
      <c r="D51" s="414" t="s">
        <v>176</v>
      </c>
      <c r="E51" s="622">
        <f>ROUND(C51/C39,3)</f>
        <v>0</v>
      </c>
      <c r="F51" s="636" t="s">
        <v>329</v>
      </c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5" ht="12.75">
      <c r="A52" s="607"/>
      <c r="B52" s="616" t="s">
        <v>325</v>
      </c>
      <c r="C52" s="629">
        <f>C48-C49-C50-C51</f>
        <v>0</v>
      </c>
      <c r="D52" s="414" t="s">
        <v>328</v>
      </c>
      <c r="E52" s="622" t="e">
        <f>ROUND(C52/C43,3)</f>
        <v>#DIV/0!</v>
      </c>
      <c r="F52" s="636" t="s">
        <v>329</v>
      </c>
      <c r="G52" s="414"/>
      <c r="H52" s="414"/>
      <c r="I52" s="414"/>
      <c r="J52" s="414"/>
      <c r="K52" s="414"/>
      <c r="L52" s="414"/>
      <c r="M52" s="414"/>
      <c r="N52" s="414"/>
      <c r="O52" s="414"/>
    </row>
    <row r="53" spans="1:15" ht="12.75">
      <c r="A53" s="607"/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.75">
      <c r="A54" s="637" t="s">
        <v>344</v>
      </c>
      <c r="B54" s="638" t="s">
        <v>374</v>
      </c>
      <c r="C54" s="639"/>
      <c r="D54" s="639"/>
      <c r="E54" s="639"/>
      <c r="F54" s="639"/>
      <c r="G54" s="639"/>
      <c r="H54" s="639"/>
      <c r="I54" s="414"/>
      <c r="J54" s="414"/>
      <c r="K54" s="414"/>
      <c r="L54" s="414"/>
      <c r="M54" s="414"/>
      <c r="N54" s="414"/>
      <c r="O54" s="414"/>
    </row>
    <row r="55" spans="1:15" ht="12.75">
      <c r="A55" s="637"/>
      <c r="B55" s="638"/>
      <c r="C55" s="637" t="s">
        <v>346</v>
      </c>
      <c r="D55" s="637" t="s">
        <v>347</v>
      </c>
      <c r="E55" s="637" t="s">
        <v>348</v>
      </c>
      <c r="F55" s="639"/>
      <c r="G55" s="639"/>
      <c r="H55" s="639"/>
      <c r="I55" s="414"/>
      <c r="J55" s="414"/>
      <c r="K55" s="414"/>
      <c r="L55" s="414"/>
      <c r="M55" s="414"/>
      <c r="N55" s="414"/>
      <c r="O55" s="414"/>
    </row>
    <row r="56" spans="1:15" ht="12.75">
      <c r="A56" s="637"/>
      <c r="B56" s="640" t="s">
        <v>367</v>
      </c>
      <c r="C56" s="613"/>
      <c r="D56" s="613"/>
      <c r="E56" s="613"/>
      <c r="F56" s="639" t="s">
        <v>350</v>
      </c>
      <c r="G56" s="639"/>
      <c r="H56" s="639"/>
      <c r="I56" s="414"/>
      <c r="J56" s="414"/>
      <c r="K56" s="414"/>
      <c r="L56" s="414"/>
      <c r="M56" s="414"/>
      <c r="N56" s="414"/>
      <c r="O56" s="414"/>
    </row>
    <row r="57" spans="1:15" ht="12.75">
      <c r="A57" s="637"/>
      <c r="B57" s="640" t="s">
        <v>323</v>
      </c>
      <c r="C57" s="613"/>
      <c r="D57" s="613">
        <v>96</v>
      </c>
      <c r="E57" s="613"/>
      <c r="F57" s="639" t="s">
        <v>350</v>
      </c>
      <c r="G57" s="639"/>
      <c r="H57" s="639">
        <v>2</v>
      </c>
      <c r="I57" s="414"/>
      <c r="J57" s="414"/>
      <c r="K57" s="414"/>
      <c r="L57" s="414"/>
      <c r="M57" s="414"/>
      <c r="N57" s="414"/>
      <c r="O57" s="414"/>
    </row>
    <row r="58" spans="1:15" ht="12.75">
      <c r="A58" s="637"/>
      <c r="B58" s="640" t="s">
        <v>324</v>
      </c>
      <c r="C58" s="613"/>
      <c r="D58" s="613">
        <v>84</v>
      </c>
      <c r="E58" s="613"/>
      <c r="F58" s="639" t="s">
        <v>350</v>
      </c>
      <c r="G58" s="639"/>
      <c r="H58" s="639">
        <v>3</v>
      </c>
      <c r="I58" s="414"/>
      <c r="J58" s="414"/>
      <c r="K58" s="414"/>
      <c r="L58" s="414"/>
      <c r="M58" s="414"/>
      <c r="N58" s="414"/>
      <c r="O58" s="414"/>
    </row>
    <row r="59" spans="1:15" ht="12.75">
      <c r="A59" s="637"/>
      <c r="B59" s="640" t="s">
        <v>325</v>
      </c>
      <c r="C59" s="613"/>
      <c r="D59" s="613"/>
      <c r="E59" s="613"/>
      <c r="F59" s="639" t="s">
        <v>350</v>
      </c>
      <c r="G59" s="639"/>
      <c r="H59" s="639"/>
      <c r="I59" s="414"/>
      <c r="J59" s="414"/>
      <c r="K59" s="414"/>
      <c r="L59" s="414"/>
      <c r="M59" s="414"/>
      <c r="N59" s="414"/>
      <c r="O59" s="414"/>
    </row>
    <row r="60" spans="1:15" ht="12.75">
      <c r="A60" s="607"/>
      <c r="B60" s="414"/>
      <c r="C60" s="414"/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.75">
      <c r="A61" s="623" t="s">
        <v>354</v>
      </c>
      <c r="B61" s="624" t="s">
        <v>375</v>
      </c>
      <c r="C61" s="625"/>
      <c r="D61" s="625"/>
      <c r="E61" s="625"/>
      <c r="F61" s="625"/>
      <c r="G61" s="625"/>
      <c r="H61" s="625"/>
      <c r="I61" s="625"/>
      <c r="J61" s="625"/>
      <c r="K61" s="625"/>
      <c r="L61" s="625"/>
      <c r="M61" s="625"/>
      <c r="N61" s="625"/>
      <c r="O61" s="625"/>
    </row>
    <row r="62" spans="1:15" ht="25.5" customHeight="1">
      <c r="A62" s="623"/>
      <c r="B62" s="967"/>
      <c r="C62" s="961" t="s">
        <v>356</v>
      </c>
      <c r="D62" s="961"/>
      <c r="E62" s="961"/>
      <c r="F62" s="961"/>
      <c r="G62" s="961"/>
      <c r="H62" s="961" t="s">
        <v>357</v>
      </c>
      <c r="I62" s="961"/>
      <c r="J62" s="961"/>
      <c r="K62" s="961" t="s">
        <v>358</v>
      </c>
      <c r="L62" s="961"/>
      <c r="M62" s="961"/>
      <c r="N62" s="961"/>
      <c r="O62" s="961"/>
    </row>
    <row r="63" spans="1:15" ht="14.25" customHeight="1">
      <c r="A63" s="623"/>
      <c r="B63" s="967"/>
      <c r="C63" s="961" t="s">
        <v>359</v>
      </c>
      <c r="D63" s="961" t="s">
        <v>360</v>
      </c>
      <c r="E63" s="961"/>
      <c r="F63" s="961"/>
      <c r="G63" s="961"/>
      <c r="H63" s="961" t="s">
        <v>359</v>
      </c>
      <c r="I63" s="961" t="s">
        <v>361</v>
      </c>
      <c r="J63" s="961"/>
      <c r="K63" s="961" t="s">
        <v>359</v>
      </c>
      <c r="L63" s="961" t="s">
        <v>360</v>
      </c>
      <c r="M63" s="961"/>
      <c r="N63" s="961"/>
      <c r="O63" s="961"/>
    </row>
    <row r="64" spans="1:15" ht="25.5" customHeight="1">
      <c r="A64" s="623"/>
      <c r="B64" s="967"/>
      <c r="C64" s="961"/>
      <c r="D64" s="961" t="s">
        <v>362</v>
      </c>
      <c r="E64" s="961"/>
      <c r="F64" s="961" t="s">
        <v>363</v>
      </c>
      <c r="G64" s="961"/>
      <c r="H64" s="961"/>
      <c r="I64" s="963" t="s">
        <v>362</v>
      </c>
      <c r="J64" s="963" t="s">
        <v>363</v>
      </c>
      <c r="K64" s="961"/>
      <c r="L64" s="961" t="s">
        <v>362</v>
      </c>
      <c r="M64" s="961"/>
      <c r="N64" s="961" t="s">
        <v>363</v>
      </c>
      <c r="O64" s="961"/>
    </row>
    <row r="65" spans="1:15" ht="22.5">
      <c r="A65" s="623"/>
      <c r="B65" s="967"/>
      <c r="C65" s="961"/>
      <c r="D65" s="225" t="s">
        <v>364</v>
      </c>
      <c r="E65" s="225" t="s">
        <v>365</v>
      </c>
      <c r="F65" s="225" t="s">
        <v>364</v>
      </c>
      <c r="G65" s="225" t="s">
        <v>365</v>
      </c>
      <c r="H65" s="961"/>
      <c r="I65" s="963"/>
      <c r="J65" s="963"/>
      <c r="K65" s="961"/>
      <c r="L65" s="225" t="s">
        <v>364</v>
      </c>
      <c r="M65" s="225" t="s">
        <v>365</v>
      </c>
      <c r="N65" s="225" t="s">
        <v>364</v>
      </c>
      <c r="O65" s="225" t="s">
        <v>365</v>
      </c>
    </row>
    <row r="66" spans="1:15" ht="12.75">
      <c r="A66" s="623"/>
      <c r="B66" s="641" t="s">
        <v>366</v>
      </c>
      <c r="C66" s="642" t="e">
        <f>ROUND(K66/H66/12*1000,8)</f>
        <v>#DIV/0!</v>
      </c>
      <c r="D66" s="344"/>
      <c r="E66" s="344"/>
      <c r="F66" s="642"/>
      <c r="G66" s="344"/>
      <c r="H66" s="344">
        <v>856</v>
      </c>
      <c r="I66" s="344" t="e">
        <f aca="true" t="shared" si="0" ref="I66:O66">SUM(I67:I70)</f>
        <v>#DIV/0!</v>
      </c>
      <c r="J66" s="344" t="e">
        <f t="shared" si="0"/>
        <v>#DIV/0!</v>
      </c>
      <c r="K66" s="354" t="e">
        <f t="shared" si="0"/>
        <v>#DIV/0!</v>
      </c>
      <c r="L66" s="354" t="e">
        <f t="shared" si="0"/>
        <v>#DIV/0!</v>
      </c>
      <c r="M66" s="354" t="e">
        <f t="shared" si="0"/>
        <v>#DIV/0!</v>
      </c>
      <c r="N66" s="354" t="e">
        <f t="shared" si="0"/>
        <v>#DIV/0!</v>
      </c>
      <c r="O66" s="354" t="e">
        <f t="shared" si="0"/>
        <v>#DIV/0!</v>
      </c>
    </row>
    <row r="67" spans="1:15" ht="12.75">
      <c r="A67" s="607"/>
      <c r="B67" s="643" t="s">
        <v>367</v>
      </c>
      <c r="C67" s="644">
        <f>C56</f>
        <v>0</v>
      </c>
      <c r="D67" s="644">
        <v>75</v>
      </c>
      <c r="E67" s="644">
        <f>C67-D67</f>
        <v>-75</v>
      </c>
      <c r="F67" s="644"/>
      <c r="G67" s="644">
        <f>C67-F67</f>
        <v>0</v>
      </c>
      <c r="H67" s="644">
        <f>C32</f>
        <v>0</v>
      </c>
      <c r="I67" s="644" t="e">
        <f>H67-J67</f>
        <v>#DIV/0!</v>
      </c>
      <c r="J67" s="644" t="e">
        <f>ROUND(H67*$E$49,0)</f>
        <v>#DIV/0!</v>
      </c>
      <c r="K67" s="605" t="e">
        <f>SUM(L67:O67)</f>
        <v>#DIV/0!</v>
      </c>
      <c r="L67" s="606" t="e">
        <f>ROUND(D67*I67*12/1000,4)</f>
        <v>#DIV/0!</v>
      </c>
      <c r="M67" s="606" t="e">
        <f aca="true" t="shared" si="1" ref="M67:N70">ROUND(E67*I67*12/1000,4)</f>
        <v>#DIV/0!</v>
      </c>
      <c r="N67" s="606" t="e">
        <f t="shared" si="1"/>
        <v>#DIV/0!</v>
      </c>
      <c r="O67" s="606" t="e">
        <f>ROUND(G67*J67*12/1000,4)</f>
        <v>#DIV/0!</v>
      </c>
    </row>
    <row r="68" spans="1:15" ht="12.75">
      <c r="A68" s="607"/>
      <c r="B68" s="643" t="s">
        <v>323</v>
      </c>
      <c r="C68" s="644">
        <f>C57</f>
        <v>0</v>
      </c>
      <c r="D68" s="644">
        <v>75</v>
      </c>
      <c r="E68" s="644">
        <f>C68-D68</f>
        <v>-75</v>
      </c>
      <c r="F68" s="644"/>
      <c r="G68" s="644">
        <f>C68-F68</f>
        <v>0</v>
      </c>
      <c r="H68" s="644">
        <v>856</v>
      </c>
      <c r="I68" s="644">
        <f>H68-J68</f>
        <v>856</v>
      </c>
      <c r="J68" s="644">
        <f>ROUND(H68*$E$50,0)</f>
        <v>0</v>
      </c>
      <c r="K68" s="605">
        <f>SUM(L68:O68)</f>
        <v>0</v>
      </c>
      <c r="L68" s="606">
        <f>ROUND(D68*I68*12/1000,4)</f>
        <v>770.4</v>
      </c>
      <c r="M68" s="606">
        <f t="shared" si="1"/>
        <v>-770.4</v>
      </c>
      <c r="N68" s="606">
        <f t="shared" si="1"/>
        <v>0</v>
      </c>
      <c r="O68" s="606">
        <f>ROUND(G68*J68*12/1000,4)</f>
        <v>0</v>
      </c>
    </row>
    <row r="69" spans="1:15" ht="12.75">
      <c r="A69" s="607"/>
      <c r="B69" s="643" t="s">
        <v>324</v>
      </c>
      <c r="C69" s="644">
        <f>C58</f>
        <v>0</v>
      </c>
      <c r="D69" s="644">
        <v>75</v>
      </c>
      <c r="E69" s="644">
        <f>C69-D69</f>
        <v>-75</v>
      </c>
      <c r="F69" s="644"/>
      <c r="G69" s="644">
        <f>C69-F69</f>
        <v>0</v>
      </c>
      <c r="H69" s="644">
        <f>C40</f>
        <v>0</v>
      </c>
      <c r="I69" s="644">
        <f>H69-J69</f>
        <v>0</v>
      </c>
      <c r="J69" s="644">
        <f>ROUND(H69*$E$51,0)</f>
        <v>0</v>
      </c>
      <c r="K69" s="605">
        <f>SUM(L69:O69)</f>
        <v>0</v>
      </c>
      <c r="L69" s="606">
        <f>ROUND(D69*I69*12/1000,4)</f>
        <v>0</v>
      </c>
      <c r="M69" s="606">
        <f t="shared" si="1"/>
        <v>0</v>
      </c>
      <c r="N69" s="606">
        <f t="shared" si="1"/>
        <v>0</v>
      </c>
      <c r="O69" s="606">
        <f>ROUND(G69*J69*12/1000,4)</f>
        <v>0</v>
      </c>
    </row>
    <row r="70" spans="1:15" ht="12.75">
      <c r="A70" s="607"/>
      <c r="B70" s="643" t="s">
        <v>325</v>
      </c>
      <c r="C70" s="644">
        <f>C59</f>
        <v>0</v>
      </c>
      <c r="D70" s="644">
        <v>75</v>
      </c>
      <c r="E70" s="644">
        <f>C70-D70</f>
        <v>-75</v>
      </c>
      <c r="F70" s="644"/>
      <c r="G70" s="644">
        <f>C70-F70</f>
        <v>0</v>
      </c>
      <c r="H70" s="644">
        <f>C44</f>
        <v>0</v>
      </c>
      <c r="I70" s="644" t="e">
        <f>H70-J70</f>
        <v>#DIV/0!</v>
      </c>
      <c r="J70" s="644" t="e">
        <f>ROUND(H70*$E$52,0)</f>
        <v>#DIV/0!</v>
      </c>
      <c r="K70" s="605" t="e">
        <f>SUM(L70:O70)</f>
        <v>#DIV/0!</v>
      </c>
      <c r="L70" s="606" t="e">
        <f>ROUND(D70*I70*12/1000,4)</f>
        <v>#DIV/0!</v>
      </c>
      <c r="M70" s="606" t="e">
        <f t="shared" si="1"/>
        <v>#DIV/0!</v>
      </c>
      <c r="N70" s="606" t="e">
        <f t="shared" si="1"/>
        <v>#DIV/0!</v>
      </c>
      <c r="O70" s="606" t="e">
        <f>ROUND(G70*J70*12/1000,4)</f>
        <v>#DIV/0!</v>
      </c>
    </row>
    <row r="71" spans="1:15" ht="12.75">
      <c r="A71" s="623"/>
      <c r="B71" s="641" t="s">
        <v>368</v>
      </c>
      <c r="C71" s="642">
        <f>ROUND(K71/H71/12*1000,8)</f>
        <v>92.11682243</v>
      </c>
      <c r="D71" s="344"/>
      <c r="E71" s="642"/>
      <c r="F71" s="642"/>
      <c r="G71" s="344"/>
      <c r="H71" s="344">
        <f>SUM(H72:H75)</f>
        <v>856</v>
      </c>
      <c r="I71" s="344">
        <v>856</v>
      </c>
      <c r="J71" s="344">
        <v>0</v>
      </c>
      <c r="K71" s="354">
        <f>SUM(K73:K74)</f>
        <v>946.224</v>
      </c>
      <c r="L71" s="354">
        <f>SUM(L73:L74)</f>
        <v>770.4000000000001</v>
      </c>
      <c r="M71" s="354">
        <f>SUM(M73:M74)</f>
        <v>175.82399999999998</v>
      </c>
      <c r="N71" s="354" t="e">
        <f>SUM(N72:N75)</f>
        <v>#DIV/0!</v>
      </c>
      <c r="O71" s="354" t="e">
        <f>SUM(O72:O75)</f>
        <v>#DIV/0!</v>
      </c>
    </row>
    <row r="72" spans="1:15" ht="12.75">
      <c r="A72" s="607"/>
      <c r="B72" s="643" t="s">
        <v>367</v>
      </c>
      <c r="C72" s="644">
        <f>D56</f>
        <v>0</v>
      </c>
      <c r="D72" s="644">
        <v>75</v>
      </c>
      <c r="E72" s="644">
        <f>C72-D72</f>
        <v>-75</v>
      </c>
      <c r="F72" s="644"/>
      <c r="G72" s="644">
        <f>C72-F72</f>
        <v>0</v>
      </c>
      <c r="H72" s="644">
        <f>C33</f>
        <v>0</v>
      </c>
      <c r="I72" s="644"/>
      <c r="J72" s="644"/>
      <c r="K72" s="605"/>
      <c r="L72" s="606"/>
      <c r="M72" s="606"/>
      <c r="N72" s="606"/>
      <c r="O72" s="606"/>
    </row>
    <row r="73" spans="1:15" ht="12.75">
      <c r="A73" s="607"/>
      <c r="B73" s="645" t="s">
        <v>323</v>
      </c>
      <c r="C73" s="646">
        <f>D57</f>
        <v>96</v>
      </c>
      <c r="D73" s="646">
        <v>75</v>
      </c>
      <c r="E73" s="646">
        <f>C73-D73</f>
        <v>21</v>
      </c>
      <c r="F73" s="646"/>
      <c r="G73" s="646">
        <f>C73-F73</f>
        <v>96</v>
      </c>
      <c r="H73" s="646">
        <v>579</v>
      </c>
      <c r="I73" s="646">
        <f>H73-J73</f>
        <v>579</v>
      </c>
      <c r="J73" s="646">
        <f>ROUND(H73*$E$50,0)</f>
        <v>0</v>
      </c>
      <c r="K73" s="647">
        <f>SUM(L73:O73)</f>
        <v>667.008</v>
      </c>
      <c r="L73" s="648">
        <f>ROUND(D73*I73*12/1000,4)</f>
        <v>521.1</v>
      </c>
      <c r="M73" s="648">
        <f aca="true" t="shared" si="2" ref="M73:N75">ROUND(E73*I73*12/1000,4)</f>
        <v>145.908</v>
      </c>
      <c r="N73" s="648">
        <f t="shared" si="2"/>
        <v>0</v>
      </c>
      <c r="O73" s="648">
        <f>ROUND(G73*J73*12/1000,4)</f>
        <v>0</v>
      </c>
    </row>
    <row r="74" spans="1:15" ht="12.75">
      <c r="A74" s="607"/>
      <c r="B74" s="645" t="s">
        <v>324</v>
      </c>
      <c r="C74" s="646">
        <f>D58</f>
        <v>84</v>
      </c>
      <c r="D74" s="646">
        <v>75</v>
      </c>
      <c r="E74" s="646">
        <f>C74-D74</f>
        <v>9</v>
      </c>
      <c r="F74" s="646"/>
      <c r="G74" s="646">
        <f>C74-F74</f>
        <v>84</v>
      </c>
      <c r="H74" s="646">
        <v>277</v>
      </c>
      <c r="I74" s="646">
        <v>277</v>
      </c>
      <c r="J74" s="646">
        <v>0</v>
      </c>
      <c r="K74" s="647">
        <f>SUM(L74:O74)</f>
        <v>279.216</v>
      </c>
      <c r="L74" s="648">
        <f>ROUND(D74*I74*12/1000,4)</f>
        <v>249.3</v>
      </c>
      <c r="M74" s="648">
        <f t="shared" si="2"/>
        <v>29.916</v>
      </c>
      <c r="N74" s="648">
        <f t="shared" si="2"/>
        <v>0</v>
      </c>
      <c r="O74" s="648">
        <f>ROUND(G74*J74*12/1000,4)</f>
        <v>0</v>
      </c>
    </row>
    <row r="75" spans="1:15" ht="12.75">
      <c r="A75" s="607"/>
      <c r="B75" s="643" t="s">
        <v>325</v>
      </c>
      <c r="C75" s="644">
        <f>D59</f>
        <v>0</v>
      </c>
      <c r="D75" s="644">
        <v>75</v>
      </c>
      <c r="E75" s="644">
        <f>C75-D75</f>
        <v>-75</v>
      </c>
      <c r="F75" s="644"/>
      <c r="G75" s="644">
        <f>C75-F75</f>
        <v>0</v>
      </c>
      <c r="H75" s="644">
        <f>C45</f>
        <v>0</v>
      </c>
      <c r="I75" s="644" t="e">
        <f>H75-J75</f>
        <v>#DIV/0!</v>
      </c>
      <c r="J75" s="644" t="e">
        <f>ROUND(H75*$E$52,0)</f>
        <v>#DIV/0!</v>
      </c>
      <c r="K75" s="605" t="e">
        <f>SUM(L75:O75)</f>
        <v>#DIV/0!</v>
      </c>
      <c r="L75" s="606" t="e">
        <f>ROUND(D75*I75*12/1000,4)</f>
        <v>#DIV/0!</v>
      </c>
      <c r="M75" s="606" t="e">
        <f t="shared" si="2"/>
        <v>#DIV/0!</v>
      </c>
      <c r="N75" s="606" t="e">
        <f t="shared" si="2"/>
        <v>#DIV/0!</v>
      </c>
      <c r="O75" s="606" t="e">
        <f>ROUND(G75*J75*12/1000,4)</f>
        <v>#DIV/0!</v>
      </c>
    </row>
    <row r="76" spans="1:15" ht="12.75">
      <c r="A76" s="623"/>
      <c r="B76" s="641" t="s">
        <v>369</v>
      </c>
      <c r="C76" s="642" t="e">
        <f>ROUND(K76/H76/12*1000,8)</f>
        <v>#DIV/0!</v>
      </c>
      <c r="D76" s="344"/>
      <c r="E76" s="642"/>
      <c r="F76" s="344"/>
      <c r="G76" s="344"/>
      <c r="H76" s="344">
        <f aca="true" t="shared" si="3" ref="H76:O76">SUM(H77:H80)</f>
        <v>0</v>
      </c>
      <c r="I76" s="344" t="e">
        <f t="shared" si="3"/>
        <v>#DIV/0!</v>
      </c>
      <c r="J76" s="344" t="e">
        <f t="shared" si="3"/>
        <v>#DIV/0!</v>
      </c>
      <c r="K76" s="354" t="e">
        <f t="shared" si="3"/>
        <v>#DIV/0!</v>
      </c>
      <c r="L76" s="354" t="e">
        <f t="shared" si="3"/>
        <v>#DIV/0!</v>
      </c>
      <c r="M76" s="354" t="e">
        <f t="shared" si="3"/>
        <v>#DIV/0!</v>
      </c>
      <c r="N76" s="354" t="e">
        <f t="shared" si="3"/>
        <v>#DIV/0!</v>
      </c>
      <c r="O76" s="354" t="e">
        <f t="shared" si="3"/>
        <v>#DIV/0!</v>
      </c>
    </row>
    <row r="77" spans="1:15" ht="12.75">
      <c r="A77" s="607"/>
      <c r="B77" s="643" t="s">
        <v>367</v>
      </c>
      <c r="C77" s="644">
        <f>E56</f>
        <v>0</v>
      </c>
      <c r="D77" s="644">
        <v>75</v>
      </c>
      <c r="E77" s="644">
        <f>C77-D77</f>
        <v>-75</v>
      </c>
      <c r="F77" s="644"/>
      <c r="G77" s="644">
        <f>C77-F77</f>
        <v>0</v>
      </c>
      <c r="H77" s="644">
        <f>C34</f>
        <v>0</v>
      </c>
      <c r="I77" s="644" t="e">
        <f>H77-J77</f>
        <v>#DIV/0!</v>
      </c>
      <c r="J77" s="644" t="e">
        <f>C49-J67-J72</f>
        <v>#DIV/0!</v>
      </c>
      <c r="K77" s="605" t="e">
        <f>SUM(L77:O77)</f>
        <v>#DIV/0!</v>
      </c>
      <c r="L77" s="606" t="e">
        <f>ROUND(D77*I77*12/1000,4)</f>
        <v>#DIV/0!</v>
      </c>
      <c r="M77" s="606" t="e">
        <f aca="true" t="shared" si="4" ref="M77:N80">ROUND(E77*I77*12/1000,4)</f>
        <v>#DIV/0!</v>
      </c>
      <c r="N77" s="606" t="e">
        <f t="shared" si="4"/>
        <v>#DIV/0!</v>
      </c>
      <c r="O77" s="606" t="e">
        <f>ROUND(G77*J77*12/1000,4)</f>
        <v>#DIV/0!</v>
      </c>
    </row>
    <row r="78" spans="1:15" ht="12.75">
      <c r="A78" s="607"/>
      <c r="B78" s="643" t="s">
        <v>323</v>
      </c>
      <c r="C78" s="644">
        <f>E57</f>
        <v>0</v>
      </c>
      <c r="D78" s="644">
        <v>75</v>
      </c>
      <c r="E78" s="644">
        <f>C78-D78</f>
        <v>-75</v>
      </c>
      <c r="F78" s="644"/>
      <c r="G78" s="644">
        <f>C78-F78</f>
        <v>0</v>
      </c>
      <c r="H78" s="644">
        <f>C38</f>
        <v>0</v>
      </c>
      <c r="I78" s="644">
        <f>H78-J78</f>
        <v>0</v>
      </c>
      <c r="J78" s="644">
        <f>C50-J68-J73</f>
        <v>0</v>
      </c>
      <c r="K78" s="605">
        <f>SUM(L78:O78)</f>
        <v>0</v>
      </c>
      <c r="L78" s="606">
        <f>ROUND(D78*I78*12/1000,4)</f>
        <v>0</v>
      </c>
      <c r="M78" s="606">
        <f t="shared" si="4"/>
        <v>0</v>
      </c>
      <c r="N78" s="606">
        <f t="shared" si="4"/>
        <v>0</v>
      </c>
      <c r="O78" s="606">
        <f>ROUND(G78*J78*12/1000,4)</f>
        <v>0</v>
      </c>
    </row>
    <row r="79" spans="1:15" ht="12.75">
      <c r="A79" s="607"/>
      <c r="B79" s="643" t="s">
        <v>324</v>
      </c>
      <c r="C79" s="644">
        <f>E58</f>
        <v>0</v>
      </c>
      <c r="D79" s="644">
        <v>75</v>
      </c>
      <c r="E79" s="644">
        <f>C79-D79</f>
        <v>-75</v>
      </c>
      <c r="F79" s="644"/>
      <c r="G79" s="644">
        <f>C79-F79</f>
        <v>0</v>
      </c>
      <c r="H79" s="644">
        <f>C42</f>
        <v>0</v>
      </c>
      <c r="I79" s="644">
        <f>H79-J79</f>
        <v>0</v>
      </c>
      <c r="J79" s="644">
        <f>C51-J69-J74</f>
        <v>0</v>
      </c>
      <c r="K79" s="605">
        <f>SUM(L79:O79)</f>
        <v>0</v>
      </c>
      <c r="L79" s="606">
        <f>ROUND(D79*I79*12/1000,4)</f>
        <v>0</v>
      </c>
      <c r="M79" s="606">
        <f t="shared" si="4"/>
        <v>0</v>
      </c>
      <c r="N79" s="606">
        <f t="shared" si="4"/>
        <v>0</v>
      </c>
      <c r="O79" s="606">
        <f>ROUND(G79*J79*12/1000,4)</f>
        <v>0</v>
      </c>
    </row>
    <row r="80" spans="1:15" ht="12.75">
      <c r="A80" s="607"/>
      <c r="B80" s="643" t="s">
        <v>325</v>
      </c>
      <c r="C80" s="644">
        <f>E59</f>
        <v>0</v>
      </c>
      <c r="D80" s="644">
        <v>75</v>
      </c>
      <c r="E80" s="644">
        <f>C80-D80</f>
        <v>-75</v>
      </c>
      <c r="F80" s="644"/>
      <c r="G80" s="644">
        <f>C80-F80</f>
        <v>0</v>
      </c>
      <c r="H80" s="644">
        <f>C46</f>
        <v>0</v>
      </c>
      <c r="I80" s="644" t="e">
        <f>H80-J80</f>
        <v>#DIV/0!</v>
      </c>
      <c r="J80" s="644" t="e">
        <f>C52-J70-J75</f>
        <v>#DIV/0!</v>
      </c>
      <c r="K80" s="605" t="e">
        <f>SUM(L80:O80)</f>
        <v>#DIV/0!</v>
      </c>
      <c r="L80" s="606" t="e">
        <f>ROUND(D80*I80*12/1000,4)</f>
        <v>#DIV/0!</v>
      </c>
      <c r="M80" s="606" t="e">
        <f t="shared" si="4"/>
        <v>#DIV/0!</v>
      </c>
      <c r="N80" s="606" t="e">
        <f t="shared" si="4"/>
        <v>#DIV/0!</v>
      </c>
      <c r="O80" s="606" t="e">
        <f>ROUND(G80*J80*12/1000,4)</f>
        <v>#DIV/0!</v>
      </c>
    </row>
  </sheetData>
  <sheetProtection selectLockedCells="1" selectUnlockedCells="1"/>
  <mergeCells count="23">
    <mergeCell ref="B62:B65"/>
    <mergeCell ref="C62:G62"/>
    <mergeCell ref="A2:H2"/>
    <mergeCell ref="C3:E3"/>
    <mergeCell ref="C4:E4"/>
    <mergeCell ref="E33:E34"/>
    <mergeCell ref="C63:C65"/>
    <mergeCell ref="I64:I65"/>
    <mergeCell ref="J64:J65"/>
    <mergeCell ref="L64:M64"/>
    <mergeCell ref="E37:E38"/>
    <mergeCell ref="E41:E42"/>
    <mergeCell ref="E45:E46"/>
    <mergeCell ref="N64:O64"/>
    <mergeCell ref="H62:J62"/>
    <mergeCell ref="K62:O62"/>
    <mergeCell ref="D63:G63"/>
    <mergeCell ref="H63:H65"/>
    <mergeCell ref="I63:J63"/>
    <mergeCell ref="K63:K65"/>
    <mergeCell ref="L63:O63"/>
    <mergeCell ref="D64:E64"/>
    <mergeCell ref="F64:G6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79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52" max="255" man="1"/>
  </rowBreaks>
  <colBreaks count="1" manualBreakCount="1">
    <brk id="1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X59"/>
  <sheetViews>
    <sheetView view="pageBreakPreview" zoomScale="86" zoomScaleNormal="80" zoomScaleSheetLayoutView="86" zoomScalePageLayoutView="0" workbookViewId="0" topLeftCell="A19">
      <selection activeCell="H38" sqref="H38"/>
    </sheetView>
  </sheetViews>
  <sheetFormatPr defaultColWidth="9.00390625" defaultRowHeight="12.75"/>
  <cols>
    <col min="1" max="1" width="3.125" style="414" customWidth="1"/>
    <col min="2" max="2" width="22.875" style="414" customWidth="1"/>
    <col min="3" max="3" width="18.375" style="414" customWidth="1"/>
    <col min="4" max="4" width="9.375" style="414" customWidth="1"/>
    <col min="5" max="5" width="8.75390625" style="414" customWidth="1"/>
    <col min="6" max="6" width="8.375" style="414" customWidth="1"/>
    <col min="7" max="7" width="5.375" style="414" customWidth="1"/>
    <col min="8" max="8" width="6.875" style="414" customWidth="1"/>
    <col min="9" max="10" width="7.25390625" style="414" customWidth="1"/>
    <col min="11" max="11" width="9.375" style="414" customWidth="1"/>
    <col min="12" max="12" width="9.125" style="414" customWidth="1"/>
    <col min="13" max="13" width="9.875" style="414" customWidth="1"/>
    <col min="14" max="14" width="12.75390625" style="414" customWidth="1"/>
    <col min="15" max="15" width="10.00390625" style="414" customWidth="1"/>
    <col min="16" max="16" width="8.625" style="414" customWidth="1"/>
    <col min="17" max="17" width="5.875" style="414" customWidth="1"/>
    <col min="18" max="18" width="6.875" style="414" customWidth="1"/>
    <col min="19" max="20" width="7.25390625" style="414" customWidth="1"/>
    <col min="21" max="21" width="8.25390625" style="414" customWidth="1"/>
    <col min="22" max="22" width="9.125" style="414" customWidth="1"/>
    <col min="23" max="23" width="10.25390625" style="414" customWidth="1"/>
    <col min="24" max="24" width="10.625" style="414" customWidth="1"/>
    <col min="25" max="16384" width="9.125" style="414" customWidth="1"/>
  </cols>
  <sheetData>
    <row r="1" spans="23:24" ht="15">
      <c r="W1" s="983" t="s">
        <v>395</v>
      </c>
      <c r="X1" s="983"/>
    </row>
    <row r="2" spans="1:24" s="728" customFormat="1" ht="18.75">
      <c r="A2" s="984" t="s">
        <v>451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</row>
    <row r="3" spans="1:24" s="271" customFormat="1" ht="15.75" customHeight="1">
      <c r="A3" s="985" t="s">
        <v>213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</row>
    <row r="4" spans="1:24" ht="15.75" customHeight="1">
      <c r="A4" s="986"/>
      <c r="B4" s="986"/>
      <c r="C4" s="986"/>
      <c r="D4" s="986"/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6"/>
      <c r="R4" s="986"/>
      <c r="S4" s="986"/>
      <c r="T4" s="986"/>
      <c r="U4" s="986"/>
      <c r="V4" s="986"/>
      <c r="W4" s="986"/>
      <c r="X4" s="986"/>
    </row>
    <row r="5" spans="1:15" s="208" customFormat="1" ht="15.75">
      <c r="A5" s="274"/>
      <c r="B5" s="275" t="s">
        <v>136</v>
      </c>
      <c r="C5" s="275"/>
      <c r="D5" s="274"/>
      <c r="E5" s="274"/>
      <c r="F5" s="221"/>
      <c r="G5" s="222"/>
      <c r="H5" s="222"/>
      <c r="I5" s="222"/>
      <c r="J5" s="222"/>
      <c r="K5" s="222"/>
      <c r="L5" s="222"/>
      <c r="M5" s="274"/>
      <c r="N5" s="274"/>
      <c r="O5" s="274"/>
    </row>
    <row r="6" spans="2:3" ht="17.25" customHeight="1">
      <c r="B6" s="275" t="s">
        <v>132</v>
      </c>
      <c r="C6" s="275"/>
    </row>
    <row r="7" spans="1:24" s="729" customFormat="1" ht="12.75" customHeight="1">
      <c r="A7" s="963" t="s">
        <v>105</v>
      </c>
      <c r="B7" s="982" t="s">
        <v>396</v>
      </c>
      <c r="C7" s="963" t="s">
        <v>397</v>
      </c>
      <c r="D7" s="982" t="s">
        <v>108</v>
      </c>
      <c r="E7" s="976" t="s">
        <v>109</v>
      </c>
      <c r="F7" s="976"/>
      <c r="G7" s="976"/>
      <c r="H7" s="976"/>
      <c r="I7" s="976"/>
      <c r="J7" s="976"/>
      <c r="K7" s="976"/>
      <c r="L7" s="976"/>
      <c r="M7" s="976"/>
      <c r="N7" s="976"/>
      <c r="O7" s="980" t="s">
        <v>452</v>
      </c>
      <c r="P7" s="980"/>
      <c r="Q7" s="980"/>
      <c r="R7" s="980"/>
      <c r="S7" s="980"/>
      <c r="T7" s="980"/>
      <c r="U7" s="980"/>
      <c r="V7" s="980"/>
      <c r="W7" s="980"/>
      <c r="X7" s="980"/>
    </row>
    <row r="8" spans="1:24" s="729" customFormat="1" ht="60.75" customHeight="1">
      <c r="A8" s="963"/>
      <c r="B8" s="982"/>
      <c r="C8" s="963"/>
      <c r="D8" s="982"/>
      <c r="E8" s="876" t="s">
        <v>398</v>
      </c>
      <c r="F8" s="876" t="s">
        <v>398</v>
      </c>
      <c r="G8" s="981" t="s">
        <v>189</v>
      </c>
      <c r="H8" s="979" t="s">
        <v>399</v>
      </c>
      <c r="I8" s="876" t="s">
        <v>400</v>
      </c>
      <c r="J8" s="979" t="s">
        <v>111</v>
      </c>
      <c r="K8" s="876" t="s">
        <v>401</v>
      </c>
      <c r="L8" s="876" t="s">
        <v>402</v>
      </c>
      <c r="M8" s="978" t="s">
        <v>15</v>
      </c>
      <c r="N8" s="978"/>
      <c r="O8" s="876" t="s">
        <v>398</v>
      </c>
      <c r="P8" s="876" t="s">
        <v>398</v>
      </c>
      <c r="Q8" s="981" t="s">
        <v>189</v>
      </c>
      <c r="R8" s="979" t="s">
        <v>399</v>
      </c>
      <c r="S8" s="876" t="s">
        <v>400</v>
      </c>
      <c r="T8" s="979" t="s">
        <v>111</v>
      </c>
      <c r="U8" s="876" t="s">
        <v>403</v>
      </c>
      <c r="V8" s="876" t="s">
        <v>404</v>
      </c>
      <c r="W8" s="978" t="s">
        <v>15</v>
      </c>
      <c r="X8" s="978"/>
    </row>
    <row r="9" spans="1:24" s="729" customFormat="1" ht="111.75" customHeight="1">
      <c r="A9" s="963"/>
      <c r="B9" s="982"/>
      <c r="C9" s="963"/>
      <c r="D9" s="982"/>
      <c r="E9" s="876"/>
      <c r="F9" s="876"/>
      <c r="G9" s="981"/>
      <c r="H9" s="979"/>
      <c r="I9" s="876"/>
      <c r="J9" s="979"/>
      <c r="K9" s="876"/>
      <c r="L9" s="876"/>
      <c r="M9" s="730" t="s">
        <v>405</v>
      </c>
      <c r="N9" s="731" t="s">
        <v>406</v>
      </c>
      <c r="O9" s="876"/>
      <c r="P9" s="876"/>
      <c r="Q9" s="981"/>
      <c r="R9" s="979"/>
      <c r="S9" s="876"/>
      <c r="T9" s="979"/>
      <c r="U9" s="876"/>
      <c r="V9" s="876"/>
      <c r="W9" s="731" t="s">
        <v>407</v>
      </c>
      <c r="X9" s="731" t="s">
        <v>408</v>
      </c>
    </row>
    <row r="10" spans="1:24" s="734" customFormat="1" ht="17.25" customHeight="1">
      <c r="A10" s="963"/>
      <c r="B10" s="982"/>
      <c r="C10" s="963"/>
      <c r="D10" s="982"/>
      <c r="E10" s="732" t="s">
        <v>409</v>
      </c>
      <c r="F10" s="732" t="s">
        <v>409</v>
      </c>
      <c r="G10" s="732" t="s">
        <v>33</v>
      </c>
      <c r="H10" s="228" t="s">
        <v>118</v>
      </c>
      <c r="I10" s="732" t="s">
        <v>35</v>
      </c>
      <c r="J10" s="732" t="s">
        <v>117</v>
      </c>
      <c r="K10" s="732" t="s">
        <v>410</v>
      </c>
      <c r="L10" s="732" t="s">
        <v>85</v>
      </c>
      <c r="M10" s="733" t="s">
        <v>36</v>
      </c>
      <c r="N10" s="732" t="s">
        <v>36</v>
      </c>
      <c r="O10" s="732" t="s">
        <v>409</v>
      </c>
      <c r="P10" s="732" t="s">
        <v>409</v>
      </c>
      <c r="Q10" s="732" t="s">
        <v>33</v>
      </c>
      <c r="R10" s="228" t="s">
        <v>118</v>
      </c>
      <c r="S10" s="732" t="s">
        <v>35</v>
      </c>
      <c r="T10" s="732" t="s">
        <v>117</v>
      </c>
      <c r="U10" s="732" t="s">
        <v>410</v>
      </c>
      <c r="V10" s="732" t="s">
        <v>85</v>
      </c>
      <c r="W10" s="732" t="s">
        <v>36</v>
      </c>
      <c r="X10" s="732" t="s">
        <v>36</v>
      </c>
    </row>
    <row r="11" spans="1:24" s="734" customFormat="1" ht="9.75">
      <c r="A11" s="735"/>
      <c r="B11" s="736">
        <v>1</v>
      </c>
      <c r="C11" s="737">
        <v>2</v>
      </c>
      <c r="D11" s="737" t="s">
        <v>411</v>
      </c>
      <c r="E11" s="737">
        <f>C11+1</f>
        <v>3</v>
      </c>
      <c r="F11" s="737">
        <f aca="true" t="shared" si="0" ref="F11:X11">E11+1</f>
        <v>4</v>
      </c>
      <c r="G11" s="737">
        <f t="shared" si="0"/>
        <v>5</v>
      </c>
      <c r="H11" s="737">
        <f t="shared" si="0"/>
        <v>6</v>
      </c>
      <c r="I11" s="737">
        <f t="shared" si="0"/>
        <v>7</v>
      </c>
      <c r="J11" s="737">
        <f t="shared" si="0"/>
        <v>8</v>
      </c>
      <c r="K11" s="737">
        <f t="shared" si="0"/>
        <v>9</v>
      </c>
      <c r="L11" s="737">
        <f t="shared" si="0"/>
        <v>10</v>
      </c>
      <c r="M11" s="737">
        <f t="shared" si="0"/>
        <v>11</v>
      </c>
      <c r="N11" s="737">
        <f t="shared" si="0"/>
        <v>12</v>
      </c>
      <c r="O11" s="737">
        <f t="shared" si="0"/>
        <v>13</v>
      </c>
      <c r="P11" s="737">
        <f t="shared" si="0"/>
        <v>14</v>
      </c>
      <c r="Q11" s="737">
        <f t="shared" si="0"/>
        <v>15</v>
      </c>
      <c r="R11" s="737">
        <f t="shared" si="0"/>
        <v>16</v>
      </c>
      <c r="S11" s="737">
        <f t="shared" si="0"/>
        <v>17</v>
      </c>
      <c r="T11" s="737">
        <f t="shared" si="0"/>
        <v>18</v>
      </c>
      <c r="U11" s="737">
        <f t="shared" si="0"/>
        <v>19</v>
      </c>
      <c r="V11" s="737">
        <f t="shared" si="0"/>
        <v>20</v>
      </c>
      <c r="W11" s="737">
        <f t="shared" si="0"/>
        <v>21</v>
      </c>
      <c r="X11" s="737">
        <f t="shared" si="0"/>
        <v>22</v>
      </c>
    </row>
    <row r="12" spans="1:24" s="744" customFormat="1" ht="61.5" customHeight="1">
      <c r="A12" s="799">
        <v>1</v>
      </c>
      <c r="B12" s="800"/>
      <c r="C12" s="738" t="s">
        <v>412</v>
      </c>
      <c r="D12" s="738"/>
      <c r="E12" s="739"/>
      <c r="F12" s="739"/>
      <c r="G12" s="740" t="e">
        <f>ROUND(F12/E12%,1)</f>
        <v>#DIV/0!</v>
      </c>
      <c r="H12" s="741"/>
      <c r="I12" s="742"/>
      <c r="J12" s="742"/>
      <c r="K12" s="743"/>
      <c r="L12" s="743">
        <f>ROUND(I12*K12*J12/1000,5)</f>
        <v>0</v>
      </c>
      <c r="M12" s="739">
        <f>ROUND(E12*L12,3)</f>
        <v>0</v>
      </c>
      <c r="N12" s="739">
        <f>ROUND(L12*F12,3)</f>
        <v>0</v>
      </c>
      <c r="O12" s="739"/>
      <c r="P12" s="739"/>
      <c r="Q12" s="740" t="e">
        <f>ROUND(P12/O12%,1)</f>
        <v>#DIV/0!</v>
      </c>
      <c r="R12" s="741">
        <f>H12</f>
        <v>0</v>
      </c>
      <c r="S12" s="741">
        <f>I12</f>
        <v>0</v>
      </c>
      <c r="T12" s="742"/>
      <c r="U12" s="743"/>
      <c r="V12" s="743">
        <f>ROUND(S12*U12*T12/1000,5)</f>
        <v>0</v>
      </c>
      <c r="W12" s="739">
        <f>ROUND(O12*V12,3)</f>
        <v>0</v>
      </c>
      <c r="X12" s="739">
        <f>ROUND(V12*P12,3)</f>
        <v>0</v>
      </c>
    </row>
    <row r="13" spans="1:24" s="744" customFormat="1" ht="60.75" customHeight="1">
      <c r="A13" s="801">
        <v>2</v>
      </c>
      <c r="B13" s="800" t="s">
        <v>418</v>
      </c>
      <c r="C13" s="747" t="s">
        <v>413</v>
      </c>
      <c r="D13" s="821">
        <v>107</v>
      </c>
      <c r="E13" s="739">
        <v>44.12</v>
      </c>
      <c r="F13" s="739">
        <v>44.12</v>
      </c>
      <c r="G13" s="740">
        <f>ROUND(F13/E13%,1)</f>
        <v>100</v>
      </c>
      <c r="H13" s="741">
        <v>18.424</v>
      </c>
      <c r="I13" s="742">
        <v>856</v>
      </c>
      <c r="J13" s="742">
        <v>5</v>
      </c>
      <c r="K13" s="741">
        <v>3</v>
      </c>
      <c r="L13" s="743">
        <f>ROUND(I13*K13*J13/1000,5)</f>
        <v>12.84</v>
      </c>
      <c r="M13" s="739">
        <f>ROUND(E13*L13,3)</f>
        <v>566.501</v>
      </c>
      <c r="N13" s="739">
        <f>ROUND(L13*F13,3)</f>
        <v>566.501</v>
      </c>
      <c r="O13" s="739">
        <v>44.12</v>
      </c>
      <c r="P13" s="739">
        <v>44.12</v>
      </c>
      <c r="Q13" s="740">
        <f>ROUND(P13/O13%,1)</f>
        <v>100</v>
      </c>
      <c r="R13" s="741">
        <v>18.424</v>
      </c>
      <c r="S13" s="739">
        <v>856</v>
      </c>
      <c r="T13" s="742">
        <v>5</v>
      </c>
      <c r="U13" s="741">
        <v>3</v>
      </c>
      <c r="V13" s="743">
        <f>ROUND(S13*U13*T13/1000,5)</f>
        <v>12.84</v>
      </c>
      <c r="W13" s="739">
        <f>ROUND(O13*V13,3)</f>
        <v>566.501</v>
      </c>
      <c r="X13" s="739">
        <f>ROUND(V13*P13,3)</f>
        <v>566.501</v>
      </c>
    </row>
    <row r="14" spans="1:24" s="744" customFormat="1" ht="55.5" customHeight="1">
      <c r="A14" s="745"/>
      <c r="B14" s="746"/>
      <c r="C14" s="747" t="s">
        <v>414</v>
      </c>
      <c r="D14" s="747"/>
      <c r="E14" s="739"/>
      <c r="F14" s="739"/>
      <c r="G14" s="740"/>
      <c r="H14" s="739"/>
      <c r="I14" s="742"/>
      <c r="J14" s="742"/>
      <c r="K14" s="741"/>
      <c r="L14" s="743">
        <f>ROUND(I14*K14*J14/1000,5)</f>
        <v>0</v>
      </c>
      <c r="M14" s="739">
        <f>ROUND(E14*L14,3)</f>
        <v>0</v>
      </c>
      <c r="N14" s="739">
        <f>ROUND(L14*F14,3)</f>
        <v>0</v>
      </c>
      <c r="O14" s="739"/>
      <c r="P14" s="739"/>
      <c r="Q14" s="740"/>
      <c r="R14" s="741"/>
      <c r="S14" s="739"/>
      <c r="T14" s="742"/>
      <c r="U14" s="741"/>
      <c r="V14" s="743">
        <f>ROUND(S14*U14*T14/1000,5)</f>
        <v>0</v>
      </c>
      <c r="W14" s="739">
        <f>ROUND(O14*V14,3)</f>
        <v>0</v>
      </c>
      <c r="X14" s="739">
        <f>ROUND(V14*P14,3)</f>
        <v>0</v>
      </c>
    </row>
    <row r="15" spans="1:24" s="755" customFormat="1" ht="22.5" customHeight="1">
      <c r="A15" s="748"/>
      <c r="B15" s="749"/>
      <c r="C15" s="750" t="s">
        <v>86</v>
      </c>
      <c r="D15" s="751">
        <f>D12+D13</f>
        <v>107</v>
      </c>
      <c r="E15" s="752">
        <f>ROUND(M15/L15,4)</f>
        <v>44.12</v>
      </c>
      <c r="F15" s="752">
        <f>ROUND(N15/L15,4)</f>
        <v>44.12</v>
      </c>
      <c r="G15" s="740">
        <f>ROUND(F15/E15%,1)</f>
        <v>100</v>
      </c>
      <c r="H15" s="753">
        <f>SUM(H12:H13)</f>
        <v>18.424</v>
      </c>
      <c r="I15" s="751">
        <f>SUM(I12:I13)</f>
        <v>856</v>
      </c>
      <c r="J15" s="754">
        <v>5</v>
      </c>
      <c r="K15" s="752">
        <f>ROUND(L15/I15/J15*1000,5)</f>
        <v>3</v>
      </c>
      <c r="L15" s="751">
        <f>SUM(L12:L13)</f>
        <v>12.84</v>
      </c>
      <c r="M15" s="751">
        <f>SUM(M12:M13)</f>
        <v>566.501</v>
      </c>
      <c r="N15" s="751">
        <f>SUM(N12:N13)</f>
        <v>566.501</v>
      </c>
      <c r="O15" s="752">
        <f>ROUND(W15/V15,4)</f>
        <v>44.12</v>
      </c>
      <c r="P15" s="752">
        <f>ROUND(X15/V15,4)</f>
        <v>44.12</v>
      </c>
      <c r="Q15" s="753">
        <f>ROUND(P15/O15%,1)</f>
        <v>100</v>
      </c>
      <c r="R15" s="753">
        <f>SUM(R12:R13)</f>
        <v>18.424</v>
      </c>
      <c r="S15" s="751">
        <f>SUM(S12:S13)</f>
        <v>856</v>
      </c>
      <c r="T15" s="754">
        <v>5</v>
      </c>
      <c r="U15" s="752">
        <f>ROUND(V15/S15/T15*1000,5)</f>
        <v>3</v>
      </c>
      <c r="V15" s="751">
        <f>SUM(V12:V13)</f>
        <v>12.84</v>
      </c>
      <c r="W15" s="751">
        <f>SUM(W12:W13)</f>
        <v>566.501</v>
      </c>
      <c r="X15" s="751">
        <f>SUM(X12:X13)</f>
        <v>566.501</v>
      </c>
    </row>
    <row r="16" spans="1:4" s="758" customFormat="1" ht="6.75" customHeight="1">
      <c r="A16" s="756"/>
      <c r="B16" s="756"/>
      <c r="C16" s="757"/>
      <c r="D16" s="757"/>
    </row>
    <row r="17" spans="1:15" s="208" customFormat="1" ht="15.75">
      <c r="A17" s="274"/>
      <c r="B17" s="275" t="s">
        <v>136</v>
      </c>
      <c r="C17" s="275"/>
      <c r="D17" s="274"/>
      <c r="E17" s="274"/>
      <c r="F17" s="221"/>
      <c r="G17" s="222"/>
      <c r="H17" s="222"/>
      <c r="I17" s="222"/>
      <c r="J17" s="222"/>
      <c r="K17" s="222"/>
      <c r="L17" s="222"/>
      <c r="M17" s="274"/>
      <c r="N17" s="274"/>
      <c r="O17" s="274"/>
    </row>
    <row r="18" spans="2:3" ht="17.25" customHeight="1">
      <c r="B18" s="275" t="s">
        <v>128</v>
      </c>
      <c r="C18" s="275"/>
    </row>
    <row r="19" spans="1:24" s="729" customFormat="1" ht="12.75" customHeight="1">
      <c r="A19" s="963" t="s">
        <v>105</v>
      </c>
      <c r="B19" s="982" t="s">
        <v>396</v>
      </c>
      <c r="C19" s="963" t="s">
        <v>397</v>
      </c>
      <c r="D19" s="982" t="s">
        <v>108</v>
      </c>
      <c r="E19" s="976" t="s">
        <v>129</v>
      </c>
      <c r="F19" s="976"/>
      <c r="G19" s="976"/>
      <c r="H19" s="976"/>
      <c r="I19" s="976"/>
      <c r="J19" s="976"/>
      <c r="K19" s="976"/>
      <c r="L19" s="976"/>
      <c r="M19" s="976"/>
      <c r="N19" s="976"/>
      <c r="O19" s="980" t="s">
        <v>453</v>
      </c>
      <c r="P19" s="980"/>
      <c r="Q19" s="980"/>
      <c r="R19" s="980"/>
      <c r="S19" s="980"/>
      <c r="T19" s="980"/>
      <c r="U19" s="980"/>
      <c r="V19" s="980"/>
      <c r="W19" s="980"/>
      <c r="X19" s="980"/>
    </row>
    <row r="20" spans="1:24" s="759" customFormat="1" ht="60.75" customHeight="1">
      <c r="A20" s="963"/>
      <c r="B20" s="982"/>
      <c r="C20" s="963"/>
      <c r="D20" s="982"/>
      <c r="E20" s="876" t="s">
        <v>398</v>
      </c>
      <c r="F20" s="876" t="s">
        <v>398</v>
      </c>
      <c r="G20" s="981" t="s">
        <v>189</v>
      </c>
      <c r="H20" s="979" t="s">
        <v>399</v>
      </c>
      <c r="I20" s="876" t="s">
        <v>400</v>
      </c>
      <c r="J20" s="979" t="s">
        <v>415</v>
      </c>
      <c r="K20" s="876" t="s">
        <v>401</v>
      </c>
      <c r="L20" s="876" t="s">
        <v>402</v>
      </c>
      <c r="M20" s="978" t="s">
        <v>15</v>
      </c>
      <c r="N20" s="978"/>
      <c r="O20" s="876" t="s">
        <v>398</v>
      </c>
      <c r="P20" s="876" t="s">
        <v>398</v>
      </c>
      <c r="Q20" s="981" t="s">
        <v>189</v>
      </c>
      <c r="R20" s="979" t="s">
        <v>399</v>
      </c>
      <c r="S20" s="876" t="s">
        <v>400</v>
      </c>
      <c r="T20" s="979" t="s">
        <v>111</v>
      </c>
      <c r="U20" s="876" t="s">
        <v>403</v>
      </c>
      <c r="V20" s="876" t="s">
        <v>404</v>
      </c>
      <c r="W20" s="978" t="s">
        <v>15</v>
      </c>
      <c r="X20" s="978"/>
    </row>
    <row r="21" spans="1:24" s="759" customFormat="1" ht="111.75" customHeight="1">
      <c r="A21" s="963"/>
      <c r="B21" s="982"/>
      <c r="C21" s="963"/>
      <c r="D21" s="982"/>
      <c r="E21" s="876"/>
      <c r="F21" s="876"/>
      <c r="G21" s="981"/>
      <c r="H21" s="979"/>
      <c r="I21" s="876"/>
      <c r="J21" s="979"/>
      <c r="K21" s="876"/>
      <c r="L21" s="876"/>
      <c r="M21" s="730" t="s">
        <v>405</v>
      </c>
      <c r="N21" s="731" t="s">
        <v>406</v>
      </c>
      <c r="O21" s="876"/>
      <c r="P21" s="876"/>
      <c r="Q21" s="981"/>
      <c r="R21" s="979"/>
      <c r="S21" s="876"/>
      <c r="T21" s="979"/>
      <c r="U21" s="876"/>
      <c r="V21" s="876"/>
      <c r="W21" s="731" t="s">
        <v>407</v>
      </c>
      <c r="X21" s="731" t="s">
        <v>408</v>
      </c>
    </row>
    <row r="22" spans="1:24" s="758" customFormat="1" ht="17.25" customHeight="1">
      <c r="A22" s="963"/>
      <c r="B22" s="982"/>
      <c r="C22" s="963"/>
      <c r="D22" s="982"/>
      <c r="E22" s="732" t="s">
        <v>409</v>
      </c>
      <c r="F22" s="732" t="s">
        <v>409</v>
      </c>
      <c r="G22" s="732" t="s">
        <v>33</v>
      </c>
      <c r="H22" s="228" t="s">
        <v>118</v>
      </c>
      <c r="I22" s="732" t="s">
        <v>35</v>
      </c>
      <c r="J22" s="732" t="s">
        <v>117</v>
      </c>
      <c r="K22" s="732" t="s">
        <v>410</v>
      </c>
      <c r="L22" s="732" t="s">
        <v>85</v>
      </c>
      <c r="M22" s="733" t="s">
        <v>36</v>
      </c>
      <c r="N22" s="732" t="s">
        <v>36</v>
      </c>
      <c r="O22" s="732" t="s">
        <v>409</v>
      </c>
      <c r="P22" s="732" t="s">
        <v>409</v>
      </c>
      <c r="Q22" s="732" t="s">
        <v>33</v>
      </c>
      <c r="R22" s="228" t="s">
        <v>118</v>
      </c>
      <c r="S22" s="732" t="s">
        <v>35</v>
      </c>
      <c r="T22" s="732" t="s">
        <v>117</v>
      </c>
      <c r="U22" s="732" t="s">
        <v>410</v>
      </c>
      <c r="V22" s="732" t="s">
        <v>85</v>
      </c>
      <c r="W22" s="732" t="s">
        <v>36</v>
      </c>
      <c r="X22" s="732" t="s">
        <v>36</v>
      </c>
    </row>
    <row r="23" spans="1:24" s="734" customFormat="1" ht="9.75">
      <c r="A23" s="735"/>
      <c r="B23" s="736">
        <v>1</v>
      </c>
      <c r="C23" s="737">
        <v>2</v>
      </c>
      <c r="D23" s="737" t="s">
        <v>411</v>
      </c>
      <c r="E23" s="737">
        <f>C23+1</f>
        <v>3</v>
      </c>
      <c r="F23" s="737">
        <f aca="true" t="shared" si="1" ref="F23:X23">E23+1</f>
        <v>4</v>
      </c>
      <c r="G23" s="737">
        <f t="shared" si="1"/>
        <v>5</v>
      </c>
      <c r="H23" s="737">
        <f t="shared" si="1"/>
        <v>6</v>
      </c>
      <c r="I23" s="737">
        <f t="shared" si="1"/>
        <v>7</v>
      </c>
      <c r="J23" s="737">
        <f t="shared" si="1"/>
        <v>8</v>
      </c>
      <c r="K23" s="737">
        <f t="shared" si="1"/>
        <v>9</v>
      </c>
      <c r="L23" s="737">
        <f t="shared" si="1"/>
        <v>10</v>
      </c>
      <c r="M23" s="737">
        <f t="shared" si="1"/>
        <v>11</v>
      </c>
      <c r="N23" s="737">
        <f t="shared" si="1"/>
        <v>12</v>
      </c>
      <c r="O23" s="737">
        <f t="shared" si="1"/>
        <v>13</v>
      </c>
      <c r="P23" s="737">
        <f t="shared" si="1"/>
        <v>14</v>
      </c>
      <c r="Q23" s="737">
        <f t="shared" si="1"/>
        <v>15</v>
      </c>
      <c r="R23" s="737">
        <f t="shared" si="1"/>
        <v>16</v>
      </c>
      <c r="S23" s="737">
        <f t="shared" si="1"/>
        <v>17</v>
      </c>
      <c r="T23" s="737">
        <f t="shared" si="1"/>
        <v>18</v>
      </c>
      <c r="U23" s="737">
        <f t="shared" si="1"/>
        <v>19</v>
      </c>
      <c r="V23" s="737">
        <f t="shared" si="1"/>
        <v>20</v>
      </c>
      <c r="W23" s="737">
        <f t="shared" si="1"/>
        <v>21</v>
      </c>
      <c r="X23" s="737">
        <f t="shared" si="1"/>
        <v>22</v>
      </c>
    </row>
    <row r="24" spans="1:24" s="744" customFormat="1" ht="61.5" customHeight="1">
      <c r="A24" s="799">
        <v>1</v>
      </c>
      <c r="B24" s="800"/>
      <c r="C24" s="738" t="s">
        <v>412</v>
      </c>
      <c r="D24" s="738"/>
      <c r="E24" s="739"/>
      <c r="F24" s="739"/>
      <c r="G24" s="740" t="e">
        <f>ROUND(F24/E24%,1)</f>
        <v>#DIV/0!</v>
      </c>
      <c r="H24" s="741"/>
      <c r="I24" s="742"/>
      <c r="J24" s="742"/>
      <c r="K24" s="743"/>
      <c r="L24" s="743">
        <f>ROUND(I24*K24*J24/1000,5)</f>
        <v>0</v>
      </c>
      <c r="M24" s="739">
        <f>ROUND(E24*L24,3)</f>
        <v>0</v>
      </c>
      <c r="N24" s="739">
        <f>ROUND(L24*F24,3)</f>
        <v>0</v>
      </c>
      <c r="O24" s="739"/>
      <c r="P24" s="739"/>
      <c r="Q24" s="740" t="e">
        <f>ROUND(P24/O24%,1)</f>
        <v>#DIV/0!</v>
      </c>
      <c r="R24" s="741">
        <f>H24</f>
        <v>0</v>
      </c>
      <c r="S24" s="741">
        <f>I24</f>
        <v>0</v>
      </c>
      <c r="T24" s="742"/>
      <c r="U24" s="743"/>
      <c r="V24" s="743">
        <f>ROUND(S24*U24*T24/1000,5)</f>
        <v>0</v>
      </c>
      <c r="W24" s="739">
        <f>ROUND(O24*V24,3)</f>
        <v>0</v>
      </c>
      <c r="X24" s="739">
        <f>ROUND(V24*P24,3)</f>
        <v>0</v>
      </c>
    </row>
    <row r="25" spans="1:24" s="744" customFormat="1" ht="60.75" customHeight="1">
      <c r="A25" s="801">
        <v>2</v>
      </c>
      <c r="B25" s="800" t="s">
        <v>418</v>
      </c>
      <c r="C25" s="747" t="s">
        <v>413</v>
      </c>
      <c r="D25" s="821">
        <v>107</v>
      </c>
      <c r="E25" s="739">
        <v>44.12</v>
      </c>
      <c r="F25" s="739">
        <v>44.12</v>
      </c>
      <c r="G25" s="740">
        <f>ROUND(F25/E25%,1)</f>
        <v>100</v>
      </c>
      <c r="H25" s="741">
        <v>18.424</v>
      </c>
      <c r="I25" s="742">
        <v>856</v>
      </c>
      <c r="J25" s="742">
        <v>1</v>
      </c>
      <c r="K25" s="741">
        <v>3</v>
      </c>
      <c r="L25" s="743">
        <f>ROUND(I25*K25*J25/1000,5)</f>
        <v>2.568</v>
      </c>
      <c r="M25" s="739">
        <f>ROUND(E25*L25,3)</f>
        <v>113.3</v>
      </c>
      <c r="N25" s="739">
        <f>ROUND(L25*F25,3)</f>
        <v>113.3</v>
      </c>
      <c r="O25" s="739">
        <v>44.12</v>
      </c>
      <c r="P25" s="739">
        <v>44.12</v>
      </c>
      <c r="Q25" s="740">
        <f>ROUND(P25/O25%,1)</f>
        <v>100</v>
      </c>
      <c r="R25" s="741">
        <v>18.424</v>
      </c>
      <c r="S25" s="739">
        <v>856</v>
      </c>
      <c r="T25" s="742">
        <v>1</v>
      </c>
      <c r="U25" s="741">
        <v>3</v>
      </c>
      <c r="V25" s="743">
        <f>ROUND(S25*U25*T25/1000,5)</f>
        <v>2.568</v>
      </c>
      <c r="W25" s="739">
        <f>ROUND(O25*V25,3)</f>
        <v>113.3</v>
      </c>
      <c r="X25" s="739">
        <f>ROUND(V25*P25,3)</f>
        <v>113.3</v>
      </c>
    </row>
    <row r="26" spans="1:24" s="744" customFormat="1" ht="55.5" customHeight="1">
      <c r="A26" s="745"/>
      <c r="B26" s="746"/>
      <c r="C26" s="747" t="s">
        <v>414</v>
      </c>
      <c r="D26" s="747"/>
      <c r="E26" s="739"/>
      <c r="F26" s="739"/>
      <c r="G26" s="740"/>
      <c r="H26" s="739"/>
      <c r="I26" s="742"/>
      <c r="J26" s="742"/>
      <c r="K26" s="741"/>
      <c r="L26" s="743">
        <f>ROUND(I26*K26*J26/1000,5)</f>
        <v>0</v>
      </c>
      <c r="M26" s="739">
        <f>ROUND(E26*L26,3)</f>
        <v>0</v>
      </c>
      <c r="N26" s="739">
        <f>ROUND(L26*F26,3)</f>
        <v>0</v>
      </c>
      <c r="O26" s="739"/>
      <c r="P26" s="739"/>
      <c r="Q26" s="740"/>
      <c r="R26" s="741"/>
      <c r="S26" s="739"/>
      <c r="T26" s="742"/>
      <c r="U26" s="741"/>
      <c r="V26" s="743">
        <f>ROUND(S26*U26*T26/1000,5)</f>
        <v>0</v>
      </c>
      <c r="W26" s="739">
        <f>ROUND(O26*V26,3)</f>
        <v>0</v>
      </c>
      <c r="X26" s="739">
        <f>ROUND(V26*P26,3)</f>
        <v>0</v>
      </c>
    </row>
    <row r="27" spans="1:24" s="755" customFormat="1" ht="22.5" customHeight="1">
      <c r="A27" s="748"/>
      <c r="B27" s="749"/>
      <c r="C27" s="750" t="s">
        <v>86</v>
      </c>
      <c r="D27" s="751">
        <f>D24+D25</f>
        <v>107</v>
      </c>
      <c r="E27" s="752">
        <f>ROUND(M27/L27,4)</f>
        <v>44.1199</v>
      </c>
      <c r="F27" s="752">
        <f>ROUND(N27/L27,4)</f>
        <v>44.1199</v>
      </c>
      <c r="G27" s="740">
        <f>ROUND(F27/E27%,1)</f>
        <v>100</v>
      </c>
      <c r="H27" s="753">
        <f>SUM(H24:H25)</f>
        <v>18.424</v>
      </c>
      <c r="I27" s="751">
        <f>SUM(I24:I25)</f>
        <v>856</v>
      </c>
      <c r="J27" s="754">
        <v>1</v>
      </c>
      <c r="K27" s="752">
        <f>ROUND(L27/I27/J27*1000,5)</f>
        <v>3</v>
      </c>
      <c r="L27" s="751">
        <f>SUM(L24:L25)</f>
        <v>2.568</v>
      </c>
      <c r="M27" s="751">
        <f>SUM(M24:M25)</f>
        <v>113.3</v>
      </c>
      <c r="N27" s="751">
        <f>SUM(N24:N25)</f>
        <v>113.3</v>
      </c>
      <c r="O27" s="752">
        <f>ROUND(W27/V27,4)</f>
        <v>44.1199</v>
      </c>
      <c r="P27" s="752">
        <f>ROUND(X27/V27,4)</f>
        <v>44.1199</v>
      </c>
      <c r="Q27" s="753">
        <f>ROUND(P27/O27%,1)</f>
        <v>100</v>
      </c>
      <c r="R27" s="753">
        <f>SUM(R24:R25)</f>
        <v>18.424</v>
      </c>
      <c r="S27" s="751">
        <f>SUM(S24:S25)</f>
        <v>856</v>
      </c>
      <c r="T27" s="754">
        <v>1</v>
      </c>
      <c r="U27" s="752">
        <f>ROUND(V27/S27/T27*1000,5)</f>
        <v>3</v>
      </c>
      <c r="V27" s="751">
        <f>SUM(V24:V25)</f>
        <v>2.568</v>
      </c>
      <c r="W27" s="751">
        <f>SUM(W24:W25)</f>
        <v>113.3</v>
      </c>
      <c r="X27" s="751">
        <f>SUM(X24:X25)</f>
        <v>113.3</v>
      </c>
    </row>
    <row r="28" spans="3:23" ht="12.75"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</row>
    <row r="29" spans="1:15" s="208" customFormat="1" ht="15.75" customHeight="1">
      <c r="A29" s="274"/>
      <c r="B29" s="883" t="s">
        <v>157</v>
      </c>
      <c r="C29" s="883"/>
      <c r="D29" s="274"/>
      <c r="E29" s="274"/>
      <c r="F29" s="221"/>
      <c r="G29" s="222"/>
      <c r="H29" s="222"/>
      <c r="I29" s="222"/>
      <c r="J29" s="222"/>
      <c r="K29" s="222"/>
      <c r="L29" s="222"/>
      <c r="M29" s="274"/>
      <c r="N29" s="274"/>
      <c r="O29" s="274"/>
    </row>
    <row r="30" spans="1:15" s="208" customFormat="1" ht="15.75">
      <c r="A30" s="274"/>
      <c r="B30" s="394" t="s">
        <v>128</v>
      </c>
      <c r="C30" s="394"/>
      <c r="D30" s="274"/>
      <c r="E30" s="274"/>
      <c r="F30" s="221"/>
      <c r="G30" s="222"/>
      <c r="H30" s="222"/>
      <c r="I30" s="222"/>
      <c r="J30" s="222"/>
      <c r="K30" s="222"/>
      <c r="L30" s="222"/>
      <c r="M30" s="274"/>
      <c r="N30" s="274"/>
      <c r="O30" s="274"/>
    </row>
    <row r="32" spans="1:24" s="729" customFormat="1" ht="12.75" customHeight="1">
      <c r="A32" s="974" t="s">
        <v>105</v>
      </c>
      <c r="B32" s="975" t="s">
        <v>396</v>
      </c>
      <c r="C32" s="974" t="s">
        <v>397</v>
      </c>
      <c r="D32" s="975" t="s">
        <v>108</v>
      </c>
      <c r="E32" s="976" t="s">
        <v>394</v>
      </c>
      <c r="F32" s="976"/>
      <c r="G32" s="976"/>
      <c r="H32" s="976"/>
      <c r="I32" s="976"/>
      <c r="J32" s="976"/>
      <c r="K32" s="976"/>
      <c r="L32" s="976"/>
      <c r="M32" s="976"/>
      <c r="N32" s="976"/>
      <c r="O32" s="977" t="s">
        <v>435</v>
      </c>
      <c r="P32" s="977"/>
      <c r="Q32" s="977"/>
      <c r="R32" s="977"/>
      <c r="S32" s="977"/>
      <c r="T32" s="977"/>
      <c r="U32" s="977"/>
      <c r="V32" s="977"/>
      <c r="W32" s="977"/>
      <c r="X32" s="977"/>
    </row>
    <row r="33" spans="1:24" s="729" customFormat="1" ht="60.75" customHeight="1">
      <c r="A33" s="974"/>
      <c r="B33" s="975"/>
      <c r="C33" s="974"/>
      <c r="D33" s="975"/>
      <c r="E33" s="971" t="s">
        <v>398</v>
      </c>
      <c r="F33" s="971" t="s">
        <v>398</v>
      </c>
      <c r="G33" s="972" t="s">
        <v>189</v>
      </c>
      <c r="H33" s="973" t="s">
        <v>399</v>
      </c>
      <c r="I33" s="971" t="s">
        <v>400</v>
      </c>
      <c r="J33" s="973" t="s">
        <v>111</v>
      </c>
      <c r="K33" s="971" t="s">
        <v>401</v>
      </c>
      <c r="L33" s="971" t="s">
        <v>402</v>
      </c>
      <c r="M33" s="978" t="s">
        <v>15</v>
      </c>
      <c r="N33" s="978"/>
      <c r="O33" s="971" t="s">
        <v>398</v>
      </c>
      <c r="P33" s="971" t="s">
        <v>398</v>
      </c>
      <c r="Q33" s="972" t="s">
        <v>189</v>
      </c>
      <c r="R33" s="973" t="s">
        <v>399</v>
      </c>
      <c r="S33" s="971" t="s">
        <v>400</v>
      </c>
      <c r="T33" s="973" t="s">
        <v>111</v>
      </c>
      <c r="U33" s="971" t="s">
        <v>403</v>
      </c>
      <c r="V33" s="971" t="s">
        <v>404</v>
      </c>
      <c r="W33" s="978" t="s">
        <v>15</v>
      </c>
      <c r="X33" s="978"/>
    </row>
    <row r="34" spans="1:24" s="729" customFormat="1" ht="111.75" customHeight="1">
      <c r="A34" s="974"/>
      <c r="B34" s="975"/>
      <c r="C34" s="974"/>
      <c r="D34" s="975"/>
      <c r="E34" s="971"/>
      <c r="F34" s="971"/>
      <c r="G34" s="972"/>
      <c r="H34" s="973"/>
      <c r="I34" s="971"/>
      <c r="J34" s="973"/>
      <c r="K34" s="971"/>
      <c r="L34" s="971"/>
      <c r="M34" s="760" t="s">
        <v>405</v>
      </c>
      <c r="N34" s="761" t="s">
        <v>406</v>
      </c>
      <c r="O34" s="971"/>
      <c r="P34" s="971"/>
      <c r="Q34" s="972"/>
      <c r="R34" s="973"/>
      <c r="S34" s="971"/>
      <c r="T34" s="973"/>
      <c r="U34" s="971"/>
      <c r="V34" s="971"/>
      <c r="W34" s="761" t="s">
        <v>407</v>
      </c>
      <c r="X34" s="761" t="s">
        <v>408</v>
      </c>
    </row>
    <row r="35" spans="1:24" s="734" customFormat="1" ht="17.25" customHeight="1">
      <c r="A35" s="974"/>
      <c r="B35" s="975"/>
      <c r="C35" s="974"/>
      <c r="D35" s="975"/>
      <c r="E35" s="762" t="s">
        <v>409</v>
      </c>
      <c r="F35" s="762" t="s">
        <v>409</v>
      </c>
      <c r="G35" s="762" t="s">
        <v>33</v>
      </c>
      <c r="H35" s="311" t="s">
        <v>118</v>
      </c>
      <c r="I35" s="762" t="s">
        <v>35</v>
      </c>
      <c r="J35" s="762" t="s">
        <v>117</v>
      </c>
      <c r="K35" s="762" t="s">
        <v>410</v>
      </c>
      <c r="L35" s="762" t="s">
        <v>85</v>
      </c>
      <c r="M35" s="763" t="s">
        <v>36</v>
      </c>
      <c r="N35" s="762" t="s">
        <v>36</v>
      </c>
      <c r="O35" s="762" t="s">
        <v>409</v>
      </c>
      <c r="P35" s="762" t="s">
        <v>409</v>
      </c>
      <c r="Q35" s="762" t="s">
        <v>33</v>
      </c>
      <c r="R35" s="311" t="s">
        <v>118</v>
      </c>
      <c r="S35" s="762" t="s">
        <v>35</v>
      </c>
      <c r="T35" s="762" t="s">
        <v>117</v>
      </c>
      <c r="U35" s="762" t="s">
        <v>410</v>
      </c>
      <c r="V35" s="762" t="s">
        <v>85</v>
      </c>
      <c r="W35" s="762" t="s">
        <v>36</v>
      </c>
      <c r="X35" s="762" t="s">
        <v>36</v>
      </c>
    </row>
    <row r="36" spans="1:24" s="734" customFormat="1" ht="9.75">
      <c r="A36" s="735"/>
      <c r="B36" s="736">
        <v>1</v>
      </c>
      <c r="C36" s="737">
        <v>2</v>
      </c>
      <c r="D36" s="737" t="s">
        <v>411</v>
      </c>
      <c r="E36" s="737">
        <f>C36+1</f>
        <v>3</v>
      </c>
      <c r="F36" s="737">
        <f aca="true" t="shared" si="2" ref="F36:X36">E36+1</f>
        <v>4</v>
      </c>
      <c r="G36" s="737">
        <f t="shared" si="2"/>
        <v>5</v>
      </c>
      <c r="H36" s="737">
        <f t="shared" si="2"/>
        <v>6</v>
      </c>
      <c r="I36" s="737">
        <f t="shared" si="2"/>
        <v>7</v>
      </c>
      <c r="J36" s="737">
        <f t="shared" si="2"/>
        <v>8</v>
      </c>
      <c r="K36" s="737">
        <f t="shared" si="2"/>
        <v>9</v>
      </c>
      <c r="L36" s="737">
        <f t="shared" si="2"/>
        <v>10</v>
      </c>
      <c r="M36" s="737">
        <f t="shared" si="2"/>
        <v>11</v>
      </c>
      <c r="N36" s="737">
        <f t="shared" si="2"/>
        <v>12</v>
      </c>
      <c r="O36" s="737">
        <f t="shared" si="2"/>
        <v>13</v>
      </c>
      <c r="P36" s="737">
        <f t="shared" si="2"/>
        <v>14</v>
      </c>
      <c r="Q36" s="737">
        <f t="shared" si="2"/>
        <v>15</v>
      </c>
      <c r="R36" s="737">
        <f t="shared" si="2"/>
        <v>16</v>
      </c>
      <c r="S36" s="737">
        <f t="shared" si="2"/>
        <v>17</v>
      </c>
      <c r="T36" s="737">
        <f t="shared" si="2"/>
        <v>18</v>
      </c>
      <c r="U36" s="737">
        <f t="shared" si="2"/>
        <v>19</v>
      </c>
      <c r="V36" s="737">
        <f t="shared" si="2"/>
        <v>20</v>
      </c>
      <c r="W36" s="737">
        <f t="shared" si="2"/>
        <v>21</v>
      </c>
      <c r="X36" s="737">
        <f t="shared" si="2"/>
        <v>22</v>
      </c>
    </row>
    <row r="37" spans="1:24" s="744" customFormat="1" ht="61.5" customHeight="1">
      <c r="A37" s="799">
        <v>1</v>
      </c>
      <c r="B37" s="800"/>
      <c r="C37" s="738" t="s">
        <v>412</v>
      </c>
      <c r="D37" s="738"/>
      <c r="E37" s="739"/>
      <c r="F37" s="739"/>
      <c r="G37" s="740" t="e">
        <f>ROUND(F37/E37%,1)</f>
        <v>#DIV/0!</v>
      </c>
      <c r="H37" s="741"/>
      <c r="I37" s="742"/>
      <c r="J37" s="742"/>
      <c r="K37" s="743"/>
      <c r="L37" s="743">
        <f>ROUND(I37*K37*J37/1000,5)</f>
        <v>0</v>
      </c>
      <c r="M37" s="739">
        <f>ROUND(E37*L37,3)</f>
        <v>0</v>
      </c>
      <c r="N37" s="739">
        <f>ROUND(L37*F37,3)</f>
        <v>0</v>
      </c>
      <c r="O37" s="739"/>
      <c r="P37" s="739"/>
      <c r="Q37" s="740" t="e">
        <f>ROUND(P37/O37%,1)</f>
        <v>#DIV/0!</v>
      </c>
      <c r="R37" s="741">
        <f aca="true" t="shared" si="3" ref="R37:S39">H37</f>
        <v>0</v>
      </c>
      <c r="S37" s="741">
        <f t="shared" si="3"/>
        <v>0</v>
      </c>
      <c r="T37" s="742"/>
      <c r="U37" s="743"/>
      <c r="V37" s="743">
        <f>ROUND(S37*U37*T37/1000,5)</f>
        <v>0</v>
      </c>
      <c r="W37" s="739">
        <f>ROUND(O37*V37,3)</f>
        <v>0</v>
      </c>
      <c r="X37" s="739">
        <f>ROUND(V37*P37,3)</f>
        <v>0</v>
      </c>
    </row>
    <row r="38" spans="1:24" s="744" customFormat="1" ht="60.75" customHeight="1">
      <c r="A38" s="801">
        <v>2</v>
      </c>
      <c r="B38" s="800" t="s">
        <v>418</v>
      </c>
      <c r="C38" s="747" t="s">
        <v>413</v>
      </c>
      <c r="D38" s="821">
        <v>107</v>
      </c>
      <c r="E38" s="739">
        <v>44.12</v>
      </c>
      <c r="F38" s="739">
        <v>44.12</v>
      </c>
      <c r="G38" s="740">
        <f>ROUND(F38/E38%,1)</f>
        <v>100</v>
      </c>
      <c r="H38" s="739">
        <v>18.424</v>
      </c>
      <c r="I38" s="742">
        <v>856</v>
      </c>
      <c r="J38" s="742">
        <v>2</v>
      </c>
      <c r="K38" s="741">
        <v>3</v>
      </c>
      <c r="L38" s="743">
        <f>ROUND(I38*K38*J38/1000,5)</f>
        <v>5.136</v>
      </c>
      <c r="M38" s="739">
        <f>ROUND(E38*L38,3)</f>
        <v>226.6</v>
      </c>
      <c r="N38" s="739">
        <f>ROUND(L38*F38,3)</f>
        <v>226.6</v>
      </c>
      <c r="O38" s="739">
        <v>45.62</v>
      </c>
      <c r="P38" s="739">
        <v>45.62</v>
      </c>
      <c r="Q38" s="740">
        <f>ROUND(P38/O38%,1)</f>
        <v>100</v>
      </c>
      <c r="R38" s="741">
        <v>18.424</v>
      </c>
      <c r="S38" s="741">
        <v>856</v>
      </c>
      <c r="T38" s="742">
        <v>2</v>
      </c>
      <c r="U38" s="741">
        <v>3</v>
      </c>
      <c r="V38" s="743">
        <f>ROUND(S38*U38*T38/1000,5)</f>
        <v>5.136</v>
      </c>
      <c r="W38" s="739">
        <f>ROUND(O38*V38,3)</f>
        <v>234.304</v>
      </c>
      <c r="X38" s="739">
        <f>ROUND(V38*P38,3)</f>
        <v>234.304</v>
      </c>
    </row>
    <row r="39" spans="1:24" s="744" customFormat="1" ht="55.5" customHeight="1">
      <c r="A39" s="745"/>
      <c r="B39" s="746"/>
      <c r="C39" s="747" t="s">
        <v>414</v>
      </c>
      <c r="D39" s="747"/>
      <c r="E39" s="739"/>
      <c r="F39" s="739"/>
      <c r="G39" s="740"/>
      <c r="H39" s="739"/>
      <c r="I39" s="742"/>
      <c r="J39" s="742"/>
      <c r="K39" s="741"/>
      <c r="L39" s="743">
        <f>ROUND(I39*K39*J39/1000,5)</f>
        <v>0</v>
      </c>
      <c r="M39" s="739">
        <f>ROUND(E39*L39,3)</f>
        <v>0</v>
      </c>
      <c r="N39" s="739">
        <f>ROUND(L39*F39,3)</f>
        <v>0</v>
      </c>
      <c r="O39" s="739"/>
      <c r="P39" s="739"/>
      <c r="Q39" s="740"/>
      <c r="R39" s="741">
        <f t="shared" si="3"/>
        <v>0</v>
      </c>
      <c r="S39" s="741">
        <f t="shared" si="3"/>
        <v>0</v>
      </c>
      <c r="T39" s="742"/>
      <c r="U39" s="741"/>
      <c r="V39" s="743">
        <f>ROUND(S39*U39*T39/1000,5)</f>
        <v>0</v>
      </c>
      <c r="W39" s="739">
        <f>ROUND(O39*V39,3)</f>
        <v>0</v>
      </c>
      <c r="X39" s="739">
        <f>ROUND(V39*P39,3)</f>
        <v>0</v>
      </c>
    </row>
    <row r="40" spans="1:24" s="755" customFormat="1" ht="22.5" customHeight="1">
      <c r="A40" s="748"/>
      <c r="B40" s="749"/>
      <c r="C40" s="750" t="s">
        <v>86</v>
      </c>
      <c r="D40" s="751">
        <f>D37+D38</f>
        <v>107</v>
      </c>
      <c r="E40" s="752">
        <f>ROUND(M40/L40,4)</f>
        <v>44.1199</v>
      </c>
      <c r="F40" s="752">
        <f>ROUND(N40/L40,4)</f>
        <v>44.1199</v>
      </c>
      <c r="G40" s="740">
        <f>ROUND(F40/E40%,1)</f>
        <v>100</v>
      </c>
      <c r="H40" s="753">
        <f>SUM(H37:H38)</f>
        <v>18.424</v>
      </c>
      <c r="I40" s="751">
        <f>SUM(I37:I38)</f>
        <v>856</v>
      </c>
      <c r="J40" s="754">
        <v>2</v>
      </c>
      <c r="K40" s="752">
        <f>ROUND(L40/I40/J40*1000,5)</f>
        <v>3</v>
      </c>
      <c r="L40" s="751">
        <f>SUM(L37:L38)</f>
        <v>5.136</v>
      </c>
      <c r="M40" s="751">
        <f>SUM(M37:M38)</f>
        <v>226.6</v>
      </c>
      <c r="N40" s="751">
        <f>SUM(N37:N38)</f>
        <v>226.6</v>
      </c>
      <c r="O40" s="752">
        <f>ROUND(W40/V40,4)</f>
        <v>45.6199</v>
      </c>
      <c r="P40" s="752">
        <f>ROUND(X40/V40,4)</f>
        <v>45.6199</v>
      </c>
      <c r="Q40" s="753">
        <f>ROUND(P40/O40%,1)</f>
        <v>100</v>
      </c>
      <c r="R40" s="753">
        <f>SUM(R37:R38)</f>
        <v>18.424</v>
      </c>
      <c r="S40" s="751">
        <f>SUM(S37:S38)</f>
        <v>856</v>
      </c>
      <c r="T40" s="754">
        <v>2</v>
      </c>
      <c r="U40" s="752">
        <f>ROUND(V40/S40/T40*1000,5)</f>
        <v>3</v>
      </c>
      <c r="V40" s="751">
        <f>SUM(V37:V38)</f>
        <v>5.136</v>
      </c>
      <c r="W40" s="751">
        <f>SUM(W37:W38)</f>
        <v>234.304</v>
      </c>
      <c r="X40" s="751">
        <f>SUM(X37:X38)</f>
        <v>234.304</v>
      </c>
    </row>
    <row r="41" spans="1:4" s="758" customFormat="1" ht="6.75" customHeight="1">
      <c r="A41" s="756"/>
      <c r="B41" s="756"/>
      <c r="C41" s="757"/>
      <c r="D41" s="757"/>
    </row>
    <row r="43" spans="1:15" s="208" customFormat="1" ht="15.75" customHeight="1">
      <c r="A43" s="274"/>
      <c r="B43" s="883" t="s">
        <v>157</v>
      </c>
      <c r="C43" s="883"/>
      <c r="D43" s="274"/>
      <c r="E43" s="274"/>
      <c r="F43" s="221"/>
      <c r="G43" s="222"/>
      <c r="H43" s="222"/>
      <c r="I43" s="222"/>
      <c r="J43" s="222"/>
      <c r="K43" s="222"/>
      <c r="L43" s="222"/>
      <c r="M43" s="274"/>
      <c r="N43" s="274"/>
      <c r="O43" s="274"/>
    </row>
    <row r="44" spans="1:15" s="208" customFormat="1" ht="15.75">
      <c r="A44" s="274"/>
      <c r="B44" s="394" t="s">
        <v>255</v>
      </c>
      <c r="C44" s="394"/>
      <c r="D44" s="274"/>
      <c r="E44" s="274"/>
      <c r="F44" s="221"/>
      <c r="G44" s="222"/>
      <c r="H44" s="222"/>
      <c r="I44" s="222"/>
      <c r="J44" s="222"/>
      <c r="K44" s="222"/>
      <c r="L44" s="222"/>
      <c r="M44" s="274"/>
      <c r="N44" s="274"/>
      <c r="O44" s="274"/>
    </row>
    <row r="45" spans="1:24" s="729" customFormat="1" ht="12.75" customHeight="1">
      <c r="A45" s="974" t="s">
        <v>105</v>
      </c>
      <c r="B45" s="975" t="s">
        <v>396</v>
      </c>
      <c r="C45" s="974" t="s">
        <v>397</v>
      </c>
      <c r="D45" s="975" t="s">
        <v>108</v>
      </c>
      <c r="E45" s="976" t="s">
        <v>416</v>
      </c>
      <c r="F45" s="976"/>
      <c r="G45" s="976"/>
      <c r="H45" s="976"/>
      <c r="I45" s="976"/>
      <c r="J45" s="976"/>
      <c r="K45" s="976"/>
      <c r="L45" s="976"/>
      <c r="M45" s="976"/>
      <c r="N45" s="976"/>
      <c r="O45" s="977" t="s">
        <v>454</v>
      </c>
      <c r="P45" s="977"/>
      <c r="Q45" s="977"/>
      <c r="R45" s="977"/>
      <c r="S45" s="977"/>
      <c r="T45" s="977"/>
      <c r="U45" s="977"/>
      <c r="V45" s="977"/>
      <c r="W45" s="977"/>
      <c r="X45" s="977"/>
    </row>
    <row r="46" spans="1:24" s="729" customFormat="1" ht="60.75" customHeight="1">
      <c r="A46" s="974"/>
      <c r="B46" s="975"/>
      <c r="C46" s="974"/>
      <c r="D46" s="975"/>
      <c r="E46" s="971" t="s">
        <v>398</v>
      </c>
      <c r="F46" s="971" t="s">
        <v>398</v>
      </c>
      <c r="G46" s="972" t="s">
        <v>189</v>
      </c>
      <c r="H46" s="973" t="s">
        <v>399</v>
      </c>
      <c r="I46" s="971" t="s">
        <v>400</v>
      </c>
      <c r="J46" s="973" t="s">
        <v>111</v>
      </c>
      <c r="K46" s="971" t="s">
        <v>401</v>
      </c>
      <c r="L46" s="971" t="s">
        <v>402</v>
      </c>
      <c r="M46" s="978" t="s">
        <v>15</v>
      </c>
      <c r="N46" s="978"/>
      <c r="O46" s="971" t="s">
        <v>398</v>
      </c>
      <c r="P46" s="971" t="s">
        <v>398</v>
      </c>
      <c r="Q46" s="972" t="s">
        <v>189</v>
      </c>
      <c r="R46" s="973" t="s">
        <v>399</v>
      </c>
      <c r="S46" s="971" t="s">
        <v>400</v>
      </c>
      <c r="T46" s="973" t="s">
        <v>111</v>
      </c>
      <c r="U46" s="971" t="s">
        <v>403</v>
      </c>
      <c r="V46" s="971" t="s">
        <v>404</v>
      </c>
      <c r="W46" s="978" t="s">
        <v>15</v>
      </c>
      <c r="X46" s="978"/>
    </row>
    <row r="47" spans="1:24" s="729" customFormat="1" ht="111.75" customHeight="1">
      <c r="A47" s="974"/>
      <c r="B47" s="975"/>
      <c r="C47" s="974"/>
      <c r="D47" s="975"/>
      <c r="E47" s="971"/>
      <c r="F47" s="971"/>
      <c r="G47" s="972"/>
      <c r="H47" s="973"/>
      <c r="I47" s="971"/>
      <c r="J47" s="973"/>
      <c r="K47" s="971"/>
      <c r="L47" s="971"/>
      <c r="M47" s="760" t="s">
        <v>405</v>
      </c>
      <c r="N47" s="761" t="s">
        <v>406</v>
      </c>
      <c r="O47" s="971"/>
      <c r="P47" s="971"/>
      <c r="Q47" s="972"/>
      <c r="R47" s="973"/>
      <c r="S47" s="971"/>
      <c r="T47" s="973"/>
      <c r="U47" s="971"/>
      <c r="V47" s="971"/>
      <c r="W47" s="761" t="s">
        <v>407</v>
      </c>
      <c r="X47" s="761" t="s">
        <v>408</v>
      </c>
    </row>
    <row r="48" spans="1:24" s="734" customFormat="1" ht="17.25" customHeight="1">
      <c r="A48" s="974"/>
      <c r="B48" s="975"/>
      <c r="C48" s="974"/>
      <c r="D48" s="975"/>
      <c r="E48" s="762" t="s">
        <v>409</v>
      </c>
      <c r="F48" s="762" t="s">
        <v>409</v>
      </c>
      <c r="G48" s="762" t="s">
        <v>33</v>
      </c>
      <c r="H48" s="311" t="s">
        <v>118</v>
      </c>
      <c r="I48" s="762" t="s">
        <v>35</v>
      </c>
      <c r="J48" s="762" t="s">
        <v>117</v>
      </c>
      <c r="K48" s="762" t="s">
        <v>410</v>
      </c>
      <c r="L48" s="762" t="s">
        <v>85</v>
      </c>
      <c r="M48" s="763" t="s">
        <v>36</v>
      </c>
      <c r="N48" s="762" t="s">
        <v>36</v>
      </c>
      <c r="O48" s="762" t="s">
        <v>409</v>
      </c>
      <c r="P48" s="762" t="s">
        <v>409</v>
      </c>
      <c r="Q48" s="762" t="s">
        <v>33</v>
      </c>
      <c r="R48" s="311" t="s">
        <v>118</v>
      </c>
      <c r="S48" s="762" t="s">
        <v>35</v>
      </c>
      <c r="T48" s="762" t="s">
        <v>117</v>
      </c>
      <c r="U48" s="762" t="s">
        <v>410</v>
      </c>
      <c r="V48" s="762" t="s">
        <v>85</v>
      </c>
      <c r="W48" s="762" t="s">
        <v>36</v>
      </c>
      <c r="X48" s="762" t="s">
        <v>36</v>
      </c>
    </row>
    <row r="49" spans="1:24" s="734" customFormat="1" ht="9.75">
      <c r="A49" s="735"/>
      <c r="B49" s="736">
        <v>1</v>
      </c>
      <c r="C49" s="737">
        <v>2</v>
      </c>
      <c r="D49" s="737" t="s">
        <v>411</v>
      </c>
      <c r="E49" s="737">
        <f>C49+1</f>
        <v>3</v>
      </c>
      <c r="F49" s="737">
        <f aca="true" t="shared" si="4" ref="F49:X49">E49+1</f>
        <v>4</v>
      </c>
      <c r="G49" s="737">
        <f t="shared" si="4"/>
        <v>5</v>
      </c>
      <c r="H49" s="737">
        <f t="shared" si="4"/>
        <v>6</v>
      </c>
      <c r="I49" s="737">
        <f t="shared" si="4"/>
        <v>7</v>
      </c>
      <c r="J49" s="737">
        <f t="shared" si="4"/>
        <v>8</v>
      </c>
      <c r="K49" s="737">
        <f t="shared" si="4"/>
        <v>9</v>
      </c>
      <c r="L49" s="737">
        <f t="shared" si="4"/>
        <v>10</v>
      </c>
      <c r="M49" s="737">
        <f t="shared" si="4"/>
        <v>11</v>
      </c>
      <c r="N49" s="737">
        <f t="shared" si="4"/>
        <v>12</v>
      </c>
      <c r="O49" s="737">
        <f t="shared" si="4"/>
        <v>13</v>
      </c>
      <c r="P49" s="737">
        <f t="shared" si="4"/>
        <v>14</v>
      </c>
      <c r="Q49" s="737">
        <f t="shared" si="4"/>
        <v>15</v>
      </c>
      <c r="R49" s="737">
        <f t="shared" si="4"/>
        <v>16</v>
      </c>
      <c r="S49" s="737">
        <f t="shared" si="4"/>
        <v>17</v>
      </c>
      <c r="T49" s="737">
        <f t="shared" si="4"/>
        <v>18</v>
      </c>
      <c r="U49" s="737">
        <f t="shared" si="4"/>
        <v>19</v>
      </c>
      <c r="V49" s="737">
        <f t="shared" si="4"/>
        <v>20</v>
      </c>
      <c r="W49" s="737">
        <f t="shared" si="4"/>
        <v>21</v>
      </c>
      <c r="X49" s="737">
        <f t="shared" si="4"/>
        <v>22</v>
      </c>
    </row>
    <row r="50" spans="1:24" s="744" customFormat="1" ht="61.5" customHeight="1">
      <c r="A50" s="799">
        <v>1</v>
      </c>
      <c r="B50" s="800"/>
      <c r="C50" s="738" t="s">
        <v>412</v>
      </c>
      <c r="D50" s="738"/>
      <c r="E50" s="739"/>
      <c r="F50" s="739"/>
      <c r="G50" s="740" t="e">
        <f>ROUND(F50/E50%,1)</f>
        <v>#DIV/0!</v>
      </c>
      <c r="H50" s="741"/>
      <c r="I50" s="742"/>
      <c r="J50" s="742"/>
      <c r="K50" s="743"/>
      <c r="L50" s="743">
        <f>ROUND(I50*K50*J50/1000,5)</f>
        <v>0</v>
      </c>
      <c r="M50" s="739">
        <f>ROUND(E50*L50,3)</f>
        <v>0</v>
      </c>
      <c r="N50" s="739">
        <f>ROUND(L50*F50,3)</f>
        <v>0</v>
      </c>
      <c r="O50" s="739"/>
      <c r="P50" s="739"/>
      <c r="Q50" s="740" t="e">
        <f>ROUND(P50/O50%,1)</f>
        <v>#DIV/0!</v>
      </c>
      <c r="R50" s="741">
        <f aca="true" t="shared" si="5" ref="R50:S52">H50</f>
        <v>0</v>
      </c>
      <c r="S50" s="741">
        <f t="shared" si="5"/>
        <v>0</v>
      </c>
      <c r="T50" s="742"/>
      <c r="U50" s="743"/>
      <c r="V50" s="743">
        <f>ROUND(S50*U50*T50/1000,5)</f>
        <v>0</v>
      </c>
      <c r="W50" s="739">
        <f>ROUND(O50*V50,3)</f>
        <v>0</v>
      </c>
      <c r="X50" s="739">
        <f>ROUND(V50*P50,3)</f>
        <v>0</v>
      </c>
    </row>
    <row r="51" spans="1:24" s="744" customFormat="1" ht="60.75" customHeight="1">
      <c r="A51" s="801">
        <v>2</v>
      </c>
      <c r="B51" s="800" t="s">
        <v>418</v>
      </c>
      <c r="C51" s="747" t="s">
        <v>413</v>
      </c>
      <c r="D51" s="821">
        <v>107</v>
      </c>
      <c r="E51" s="739">
        <v>44.12</v>
      </c>
      <c r="F51" s="739">
        <v>44.12</v>
      </c>
      <c r="G51" s="740">
        <f>ROUND(F51/E51%,1)</f>
        <v>100</v>
      </c>
      <c r="H51" s="739">
        <v>18.424</v>
      </c>
      <c r="I51" s="236">
        <v>856</v>
      </c>
      <c r="J51" s="742">
        <v>4</v>
      </c>
      <c r="K51" s="741">
        <v>3</v>
      </c>
      <c r="L51" s="743">
        <f>ROUND(I51*K51*J51/1000,5)</f>
        <v>10.272</v>
      </c>
      <c r="M51" s="739">
        <f>ROUND(E51*L51,3)</f>
        <v>453.201</v>
      </c>
      <c r="N51" s="739">
        <f>ROUND(L51*F51,3)</f>
        <v>453.201</v>
      </c>
      <c r="O51" s="739">
        <v>45.62</v>
      </c>
      <c r="P51" s="739">
        <v>45.62</v>
      </c>
      <c r="Q51" s="740">
        <f>ROUND(P51/O51%,1)</f>
        <v>100</v>
      </c>
      <c r="R51" s="741">
        <v>18.424</v>
      </c>
      <c r="S51" s="353">
        <v>856</v>
      </c>
      <c r="T51" s="742">
        <v>4</v>
      </c>
      <c r="U51" s="741">
        <v>3</v>
      </c>
      <c r="V51" s="743">
        <f>ROUND(S51*U51*T51/1000,5)</f>
        <v>10.272</v>
      </c>
      <c r="W51" s="739">
        <f>ROUND(O51*V51,3)</f>
        <v>468.609</v>
      </c>
      <c r="X51" s="739">
        <f>ROUND(V51*P51,3)</f>
        <v>468.609</v>
      </c>
    </row>
    <row r="52" spans="1:24" s="744" customFormat="1" ht="55.5" customHeight="1">
      <c r="A52" s="745"/>
      <c r="B52" s="746"/>
      <c r="C52" s="747" t="s">
        <v>414</v>
      </c>
      <c r="D52" s="747"/>
      <c r="E52" s="739"/>
      <c r="F52" s="739"/>
      <c r="G52" s="740"/>
      <c r="H52" s="739"/>
      <c r="I52" s="742"/>
      <c r="J52" s="742"/>
      <c r="K52" s="741"/>
      <c r="L52" s="743">
        <f>ROUND(I52*K52*J52/1000,5)</f>
        <v>0</v>
      </c>
      <c r="M52" s="739">
        <f>ROUND(E52*L52,3)</f>
        <v>0</v>
      </c>
      <c r="N52" s="739">
        <f>ROUND(L52*F52,3)</f>
        <v>0</v>
      </c>
      <c r="O52" s="739"/>
      <c r="P52" s="739"/>
      <c r="Q52" s="740"/>
      <c r="R52" s="741">
        <f t="shared" si="5"/>
        <v>0</v>
      </c>
      <c r="S52" s="741">
        <f t="shared" si="5"/>
        <v>0</v>
      </c>
      <c r="T52" s="742"/>
      <c r="U52" s="741"/>
      <c r="V52" s="743">
        <f>ROUND(S52*U52*T52/1000,5)</f>
        <v>0</v>
      </c>
      <c r="W52" s="739">
        <f>ROUND(O52*V52,3)</f>
        <v>0</v>
      </c>
      <c r="X52" s="739">
        <f>ROUND(V52*P52,3)</f>
        <v>0</v>
      </c>
    </row>
    <row r="53" spans="1:24" s="755" customFormat="1" ht="22.5" customHeight="1">
      <c r="A53" s="748"/>
      <c r="B53" s="749"/>
      <c r="C53" s="750" t="s">
        <v>86</v>
      </c>
      <c r="D53" s="751">
        <f>D50+D51</f>
        <v>107</v>
      </c>
      <c r="E53" s="752">
        <f>ROUND(M53/L53,4)</f>
        <v>44.12</v>
      </c>
      <c r="F53" s="752">
        <f>ROUND(N53/L53,4)</f>
        <v>44.12</v>
      </c>
      <c r="G53" s="740">
        <f>ROUND(F53/E53%,1)</f>
        <v>100</v>
      </c>
      <c r="H53" s="753">
        <f>SUM(H50:H51)</f>
        <v>18.424</v>
      </c>
      <c r="I53" s="751">
        <f>SUM(I50:I51)</f>
        <v>856</v>
      </c>
      <c r="J53" s="754">
        <v>4</v>
      </c>
      <c r="K53" s="752">
        <f>ROUND(L53/I53/J53*1000,5)</f>
        <v>3</v>
      </c>
      <c r="L53" s="751">
        <f>SUM(L50:L51)</f>
        <v>10.272</v>
      </c>
      <c r="M53" s="751">
        <f>SUM(M50:M51)</f>
        <v>453.201</v>
      </c>
      <c r="N53" s="751">
        <f>SUM(N50:N51)</f>
        <v>453.201</v>
      </c>
      <c r="O53" s="752">
        <f>ROUND(W53/V53,4)</f>
        <v>45.62</v>
      </c>
      <c r="P53" s="752">
        <f>ROUND(X53/V53,4)</f>
        <v>45.62</v>
      </c>
      <c r="Q53" s="753">
        <f>ROUND(P53/O53%,1)</f>
        <v>100</v>
      </c>
      <c r="R53" s="753">
        <f>SUM(R50:R51)</f>
        <v>18.424</v>
      </c>
      <c r="S53" s="751">
        <f>SUM(S50:S51)</f>
        <v>856</v>
      </c>
      <c r="T53" s="754">
        <v>4</v>
      </c>
      <c r="U53" s="752">
        <f>ROUND(V53/S53/T53*1000,5)</f>
        <v>3</v>
      </c>
      <c r="V53" s="751">
        <f>SUM(V50:V51)</f>
        <v>10.272</v>
      </c>
      <c r="W53" s="751">
        <f>SUM(W50:W51)</f>
        <v>468.609</v>
      </c>
      <c r="X53" s="751">
        <f>SUM(X50:X51)</f>
        <v>468.609</v>
      </c>
    </row>
    <row r="54" spans="1:4" s="758" customFormat="1" ht="6.75" customHeight="1">
      <c r="A54" s="756"/>
      <c r="B54" s="756"/>
      <c r="C54" s="757"/>
      <c r="D54" s="757"/>
    </row>
    <row r="55" spans="1:15" s="366" customFormat="1" ht="15.75">
      <c r="A55" s="395"/>
      <c r="B55" s="360"/>
      <c r="C55" s="360"/>
      <c r="D55" s="395"/>
      <c r="E55" s="395"/>
      <c r="F55" s="396"/>
      <c r="G55" s="272"/>
      <c r="H55" s="272"/>
      <c r="I55" s="272"/>
      <c r="J55" s="272"/>
      <c r="K55" s="272"/>
      <c r="L55" s="272"/>
      <c r="M55" s="395"/>
      <c r="N55" s="395"/>
      <c r="O55" s="395"/>
    </row>
    <row r="56" spans="2:6" s="208" customFormat="1" ht="18.75">
      <c r="B56" s="802" t="s">
        <v>422</v>
      </c>
      <c r="C56" s="803"/>
      <c r="D56" s="803" t="s">
        <v>423</v>
      </c>
      <c r="E56" s="809"/>
      <c r="F56" s="804"/>
    </row>
    <row r="57" spans="2:6" s="208" customFormat="1" ht="18.75">
      <c r="B57" s="802"/>
      <c r="C57" s="802"/>
      <c r="D57" s="802"/>
      <c r="E57" s="802"/>
      <c r="F57" s="804" t="s">
        <v>97</v>
      </c>
    </row>
    <row r="58" spans="2:6" s="208" customFormat="1" ht="18.75">
      <c r="B58" s="802" t="s">
        <v>98</v>
      </c>
      <c r="C58" s="803" t="s">
        <v>424</v>
      </c>
      <c r="D58" s="803"/>
      <c r="E58" s="803"/>
      <c r="F58" s="804"/>
    </row>
    <row r="59" spans="2:6" s="208" customFormat="1" ht="18.75">
      <c r="B59" s="802" t="s">
        <v>421</v>
      </c>
      <c r="C59" s="808" t="s">
        <v>425</v>
      </c>
      <c r="D59" s="807"/>
      <c r="E59" s="807"/>
      <c r="F59" s="804"/>
    </row>
  </sheetData>
  <sheetProtection selectLockedCells="1" selectUnlockedCells="1"/>
  <mergeCells count="102">
    <mergeCell ref="C7:C10"/>
    <mergeCell ref="K8:K9"/>
    <mergeCell ref="L8:L9"/>
    <mergeCell ref="O7:X7"/>
    <mergeCell ref="W1:X1"/>
    <mergeCell ref="A2:X2"/>
    <mergeCell ref="A3:X3"/>
    <mergeCell ref="A4:X4"/>
    <mergeCell ref="I8:I9"/>
    <mergeCell ref="P8:P9"/>
    <mergeCell ref="Q8:Q9"/>
    <mergeCell ref="R8:R9"/>
    <mergeCell ref="S8:S9"/>
    <mergeCell ref="D7:D10"/>
    <mergeCell ref="E7:N7"/>
    <mergeCell ref="E8:E9"/>
    <mergeCell ref="F8:F9"/>
    <mergeCell ref="G8:G9"/>
    <mergeCell ref="H8:H9"/>
    <mergeCell ref="A19:A22"/>
    <mergeCell ref="B19:B22"/>
    <mergeCell ref="C19:C22"/>
    <mergeCell ref="D19:D22"/>
    <mergeCell ref="E19:N19"/>
    <mergeCell ref="J8:J9"/>
    <mergeCell ref="A7:A10"/>
    <mergeCell ref="B7:B10"/>
    <mergeCell ref="J20:J21"/>
    <mergeCell ref="F20:F21"/>
    <mergeCell ref="G20:G21"/>
    <mergeCell ref="H20:H21"/>
    <mergeCell ref="I20:I21"/>
    <mergeCell ref="V20:V21"/>
    <mergeCell ref="O20:O21"/>
    <mergeCell ref="P20:P21"/>
    <mergeCell ref="M20:N20"/>
    <mergeCell ref="T20:T21"/>
    <mergeCell ref="Q20:Q21"/>
    <mergeCell ref="R20:R21"/>
    <mergeCell ref="B29:C29"/>
    <mergeCell ref="V8:V9"/>
    <mergeCell ref="W8:X8"/>
    <mergeCell ref="T8:T9"/>
    <mergeCell ref="U8:U9"/>
    <mergeCell ref="M8:N8"/>
    <mergeCell ref="O8:O9"/>
    <mergeCell ref="O19:X19"/>
    <mergeCell ref="E20:E21"/>
    <mergeCell ref="S20:S21"/>
    <mergeCell ref="L33:L34"/>
    <mergeCell ref="M33:N33"/>
    <mergeCell ref="K33:K34"/>
    <mergeCell ref="W33:X33"/>
    <mergeCell ref="T33:T34"/>
    <mergeCell ref="P33:P34"/>
    <mergeCell ref="K20:K21"/>
    <mergeCell ref="L20:L21"/>
    <mergeCell ref="A32:A35"/>
    <mergeCell ref="B32:B35"/>
    <mergeCell ref="C32:C35"/>
    <mergeCell ref="O33:O34"/>
    <mergeCell ref="D32:D35"/>
    <mergeCell ref="E32:N32"/>
    <mergeCell ref="E33:E34"/>
    <mergeCell ref="F33:F34"/>
    <mergeCell ref="G33:G34"/>
    <mergeCell ref="J33:J34"/>
    <mergeCell ref="B43:C43"/>
    <mergeCell ref="H33:H34"/>
    <mergeCell ref="I33:I34"/>
    <mergeCell ref="W46:X46"/>
    <mergeCell ref="R46:R47"/>
    <mergeCell ref="S46:S47"/>
    <mergeCell ref="T46:T47"/>
    <mergeCell ref="M46:N46"/>
    <mergeCell ref="U20:U21"/>
    <mergeCell ref="Q33:Q34"/>
    <mergeCell ref="R33:R34"/>
    <mergeCell ref="S33:S34"/>
    <mergeCell ref="W20:X20"/>
    <mergeCell ref="V46:V47"/>
    <mergeCell ref="U33:U34"/>
    <mergeCell ref="V33:V34"/>
    <mergeCell ref="O32:X32"/>
    <mergeCell ref="A45:A48"/>
    <mergeCell ref="B45:B48"/>
    <mergeCell ref="C45:C48"/>
    <mergeCell ref="D45:D48"/>
    <mergeCell ref="E45:N45"/>
    <mergeCell ref="O46:O47"/>
    <mergeCell ref="O45:X45"/>
    <mergeCell ref="E46:E47"/>
    <mergeCell ref="J46:J47"/>
    <mergeCell ref="K46:K47"/>
    <mergeCell ref="F46:F47"/>
    <mergeCell ref="G46:G47"/>
    <mergeCell ref="H46:H47"/>
    <mergeCell ref="I46:I47"/>
    <mergeCell ref="U46:U47"/>
    <mergeCell ref="P46:P47"/>
    <mergeCell ref="Q46:Q47"/>
    <mergeCell ref="L46:L47"/>
  </mergeCells>
  <printOptions horizontalCentered="1"/>
  <pageMargins left="0" right="0" top="0.39375" bottom="0.19652777777777777" header="0.5118055555555555" footer="0.5118055555555555"/>
  <pageSetup horizontalDpi="300" verticalDpi="300" orientation="landscape" paperSize="9" scale="48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28"/>
  <sheetViews>
    <sheetView view="pageBreakPreview" zoomScale="86" zoomScaleNormal="85" zoomScaleSheetLayoutView="86" zoomScalePageLayoutView="0" workbookViewId="0" topLeftCell="H1">
      <selection activeCell="L93" sqref="L93"/>
    </sheetView>
  </sheetViews>
  <sheetFormatPr defaultColWidth="9.00390625" defaultRowHeight="12.75"/>
  <cols>
    <col min="1" max="1" width="4.75390625" style="271" customWidth="1"/>
    <col min="2" max="2" width="24.125" style="271" customWidth="1"/>
    <col min="3" max="3" width="9.25390625" style="271" customWidth="1"/>
    <col min="4" max="4" width="11.25390625" style="271" customWidth="1"/>
    <col min="5" max="5" width="11.00390625" style="271" customWidth="1"/>
    <col min="6" max="6" width="10.375" style="396" customWidth="1"/>
    <col min="7" max="7" width="9.875" style="396" customWidth="1"/>
    <col min="8" max="8" width="10.00390625" style="396" customWidth="1"/>
    <col min="9" max="9" width="11.00390625" style="396" customWidth="1"/>
    <col min="10" max="10" width="10.125" style="396" customWidth="1"/>
    <col min="11" max="11" width="10.75390625" style="396" customWidth="1"/>
    <col min="12" max="12" width="10.25390625" style="396" customWidth="1"/>
    <col min="13" max="13" width="10.875" style="396" customWidth="1"/>
    <col min="14" max="14" width="10.25390625" style="396" customWidth="1"/>
    <col min="15" max="16" width="10.375" style="271" customWidth="1"/>
    <col min="17" max="17" width="8.875" style="271" customWidth="1"/>
    <col min="18" max="18" width="8.375" style="271" customWidth="1"/>
    <col min="19" max="21" width="10.375" style="271" customWidth="1"/>
    <col min="22" max="22" width="9.25390625" style="271" customWidth="1"/>
    <col min="23" max="16384" width="9.125" style="271" customWidth="1"/>
  </cols>
  <sheetData>
    <row r="1" ht="12.75">
      <c r="V1" s="268" t="s">
        <v>376</v>
      </c>
    </row>
    <row r="2" spans="1:21" s="649" customFormat="1" ht="15.75">
      <c r="A2" s="886" t="s">
        <v>427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</row>
    <row r="3" spans="1:22" s="649" customFormat="1" ht="15.75" customHeight="1">
      <c r="A3" s="650"/>
      <c r="B3" s="887" t="s">
        <v>213</v>
      </c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650"/>
    </row>
    <row r="4" spans="1:22" s="649" customFormat="1" ht="15.75">
      <c r="A4" s="650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650"/>
    </row>
    <row r="5" spans="1:15" s="208" customFormat="1" ht="15.75">
      <c r="A5" s="274"/>
      <c r="B5" s="275" t="s">
        <v>136</v>
      </c>
      <c r="C5" s="275"/>
      <c r="D5" s="274"/>
      <c r="E5" s="274"/>
      <c r="F5" s="221"/>
      <c r="G5" s="222"/>
      <c r="H5" s="222"/>
      <c r="I5" s="222"/>
      <c r="J5" s="222"/>
      <c r="K5" s="222"/>
      <c r="L5" s="222"/>
      <c r="M5" s="274"/>
      <c r="N5" s="274"/>
      <c r="O5" s="274"/>
    </row>
    <row r="6" spans="1:15" s="208" customFormat="1" ht="15.75">
      <c r="A6" s="274"/>
      <c r="B6" s="275" t="s">
        <v>132</v>
      </c>
      <c r="C6" s="275"/>
      <c r="D6" s="274"/>
      <c r="E6" s="274"/>
      <c r="F6" s="221"/>
      <c r="G6" s="222"/>
      <c r="H6" s="222"/>
      <c r="I6" s="222"/>
      <c r="J6" s="222"/>
      <c r="K6" s="222"/>
      <c r="L6" s="222"/>
      <c r="M6" s="274"/>
      <c r="N6" s="274"/>
      <c r="O6" s="274"/>
    </row>
    <row r="7" spans="1:22" s="651" customFormat="1" ht="12.75" customHeight="1">
      <c r="A7" s="875" t="s">
        <v>105</v>
      </c>
      <c r="B7" s="875" t="s">
        <v>377</v>
      </c>
      <c r="C7" s="885" t="s">
        <v>109</v>
      </c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5"/>
      <c r="V7" s="885"/>
    </row>
    <row r="8" spans="1:22" s="651" customFormat="1" ht="41.25" customHeight="1">
      <c r="A8" s="875"/>
      <c r="B8" s="875"/>
      <c r="C8" s="879" t="s">
        <v>378</v>
      </c>
      <c r="D8" s="879"/>
      <c r="E8" s="879"/>
      <c r="F8" s="879" t="s">
        <v>356</v>
      </c>
      <c r="G8" s="879"/>
      <c r="H8" s="879"/>
      <c r="I8" s="879"/>
      <c r="J8" s="879"/>
      <c r="K8" s="879" t="s">
        <v>357</v>
      </c>
      <c r="L8" s="879"/>
      <c r="M8" s="879"/>
      <c r="N8" s="879" t="s">
        <v>379</v>
      </c>
      <c r="O8" s="879"/>
      <c r="P8" s="879"/>
      <c r="Q8" s="879"/>
      <c r="R8" s="879"/>
      <c r="S8" s="879" t="s">
        <v>380</v>
      </c>
      <c r="T8" s="879"/>
      <c r="U8" s="879"/>
      <c r="V8" s="875" t="s">
        <v>381</v>
      </c>
    </row>
    <row r="9" spans="1:22" s="651" customFormat="1" ht="12" customHeight="1">
      <c r="A9" s="875"/>
      <c r="B9" s="875"/>
      <c r="C9" s="879"/>
      <c r="D9" s="879"/>
      <c r="E9" s="879"/>
      <c r="F9" s="875" t="s">
        <v>359</v>
      </c>
      <c r="G9" s="875" t="s">
        <v>360</v>
      </c>
      <c r="H9" s="875"/>
      <c r="I9" s="875"/>
      <c r="J9" s="875"/>
      <c r="K9" s="875" t="s">
        <v>359</v>
      </c>
      <c r="L9" s="875" t="s">
        <v>361</v>
      </c>
      <c r="M9" s="875"/>
      <c r="N9" s="875" t="s">
        <v>382</v>
      </c>
      <c r="O9" s="875" t="s">
        <v>360</v>
      </c>
      <c r="P9" s="875"/>
      <c r="Q9" s="875"/>
      <c r="R9" s="875"/>
      <c r="S9" s="875" t="s">
        <v>359</v>
      </c>
      <c r="T9" s="875" t="s">
        <v>361</v>
      </c>
      <c r="U9" s="875"/>
      <c r="V9" s="875"/>
    </row>
    <row r="10" spans="1:22" s="651" customFormat="1" ht="23.25" customHeight="1">
      <c r="A10" s="875"/>
      <c r="B10" s="875"/>
      <c r="C10" s="875" t="s">
        <v>383</v>
      </c>
      <c r="D10" s="876" t="s">
        <v>360</v>
      </c>
      <c r="E10" s="876"/>
      <c r="F10" s="875"/>
      <c r="G10" s="875" t="s">
        <v>362</v>
      </c>
      <c r="H10" s="875"/>
      <c r="I10" s="875" t="s">
        <v>363</v>
      </c>
      <c r="J10" s="875"/>
      <c r="K10" s="875"/>
      <c r="L10" s="876" t="s">
        <v>362</v>
      </c>
      <c r="M10" s="876" t="s">
        <v>363</v>
      </c>
      <c r="N10" s="875"/>
      <c r="O10" s="875" t="s">
        <v>362</v>
      </c>
      <c r="P10" s="875"/>
      <c r="Q10" s="875" t="s">
        <v>363</v>
      </c>
      <c r="R10" s="875"/>
      <c r="S10" s="875"/>
      <c r="T10" s="876" t="s">
        <v>362</v>
      </c>
      <c r="U10" s="876" t="s">
        <v>363</v>
      </c>
      <c r="V10" s="875"/>
    </row>
    <row r="11" spans="1:22" s="651" customFormat="1" ht="52.5" customHeight="1">
      <c r="A11" s="875"/>
      <c r="B11" s="875"/>
      <c r="C11" s="875"/>
      <c r="D11" s="427" t="s">
        <v>384</v>
      </c>
      <c r="E11" s="427" t="s">
        <v>385</v>
      </c>
      <c r="F11" s="875"/>
      <c r="G11" s="427" t="s">
        <v>364</v>
      </c>
      <c r="H11" s="427" t="s">
        <v>365</v>
      </c>
      <c r="I11" s="427" t="s">
        <v>364</v>
      </c>
      <c r="J11" s="427" t="s">
        <v>365</v>
      </c>
      <c r="K11" s="875"/>
      <c r="L11" s="876"/>
      <c r="M11" s="876"/>
      <c r="N11" s="875"/>
      <c r="O11" s="427" t="s">
        <v>386</v>
      </c>
      <c r="P11" s="427" t="s">
        <v>387</v>
      </c>
      <c r="Q11" s="427" t="s">
        <v>386</v>
      </c>
      <c r="R11" s="427" t="s">
        <v>387</v>
      </c>
      <c r="S11" s="875"/>
      <c r="T11" s="876"/>
      <c r="U11" s="876"/>
      <c r="V11" s="875"/>
    </row>
    <row r="12" spans="1:22" s="654" customFormat="1" ht="10.5" customHeight="1">
      <c r="A12" s="652"/>
      <c r="B12" s="653">
        <v>1</v>
      </c>
      <c r="C12" s="653">
        <f aca="true" t="shared" si="0" ref="C12:V12">B12+1</f>
        <v>2</v>
      </c>
      <c r="D12" s="653">
        <f t="shared" si="0"/>
        <v>3</v>
      </c>
      <c r="E12" s="653">
        <f t="shared" si="0"/>
        <v>4</v>
      </c>
      <c r="F12" s="653">
        <f t="shared" si="0"/>
        <v>5</v>
      </c>
      <c r="G12" s="653">
        <f t="shared" si="0"/>
        <v>6</v>
      </c>
      <c r="H12" s="653">
        <f t="shared" si="0"/>
        <v>7</v>
      </c>
      <c r="I12" s="653">
        <f t="shared" si="0"/>
        <v>8</v>
      </c>
      <c r="J12" s="653">
        <f t="shared" si="0"/>
        <v>9</v>
      </c>
      <c r="K12" s="653">
        <f t="shared" si="0"/>
        <v>10</v>
      </c>
      <c r="L12" s="653">
        <f t="shared" si="0"/>
        <v>11</v>
      </c>
      <c r="M12" s="653">
        <f t="shared" si="0"/>
        <v>12</v>
      </c>
      <c r="N12" s="653">
        <f t="shared" si="0"/>
        <v>13</v>
      </c>
      <c r="O12" s="653">
        <f t="shared" si="0"/>
        <v>14</v>
      </c>
      <c r="P12" s="653">
        <f t="shared" si="0"/>
        <v>15</v>
      </c>
      <c r="Q12" s="653">
        <f t="shared" si="0"/>
        <v>16</v>
      </c>
      <c r="R12" s="653">
        <f t="shared" si="0"/>
        <v>17</v>
      </c>
      <c r="S12" s="653">
        <f t="shared" si="0"/>
        <v>18</v>
      </c>
      <c r="T12" s="653">
        <f t="shared" si="0"/>
        <v>19</v>
      </c>
      <c r="U12" s="653">
        <f t="shared" si="0"/>
        <v>20</v>
      </c>
      <c r="V12" s="653">
        <f t="shared" si="0"/>
        <v>21</v>
      </c>
    </row>
    <row r="13" spans="1:22" s="494" customFormat="1" ht="36">
      <c r="A13" s="424" t="s">
        <v>310</v>
      </c>
      <c r="B13" s="655" t="s">
        <v>388</v>
      </c>
      <c r="C13" s="656" t="e">
        <f>ROUND(S13/N13,4)</f>
        <v>#DIV/0!</v>
      </c>
      <c r="D13" s="657"/>
      <c r="E13" s="657"/>
      <c r="F13" s="658"/>
      <c r="G13" s="659"/>
      <c r="H13" s="659">
        <f>F13-G13</f>
        <v>0</v>
      </c>
      <c r="I13" s="659"/>
      <c r="J13" s="659">
        <f>F13-I13</f>
        <v>0</v>
      </c>
      <c r="K13" s="656"/>
      <c r="L13" s="656"/>
      <c r="M13" s="656">
        <f>K13-L13</f>
        <v>0</v>
      </c>
      <c r="N13" s="660">
        <f>O13+P13+Q13+R13</f>
        <v>0</v>
      </c>
      <c r="O13" s="661">
        <f>ROUND(G13*L13*6/1000,4)</f>
        <v>0</v>
      </c>
      <c r="P13" s="661">
        <f>ROUND(H13*L13*6/1000,4)</f>
        <v>0</v>
      </c>
      <c r="Q13" s="661">
        <f>ROUND(I13*M13*6/1000,4)</f>
        <v>0</v>
      </c>
      <c r="R13" s="661">
        <f>ROUND(J13*M13*6/1000,4)</f>
        <v>0</v>
      </c>
      <c r="S13" s="662">
        <f>T13+U13</f>
        <v>0</v>
      </c>
      <c r="T13" s="662">
        <f>ROUND(D13*O13+E13*P13,1)</f>
        <v>0</v>
      </c>
      <c r="U13" s="662">
        <f>ROUND(D13*Q13+E13*R13,1)</f>
        <v>0</v>
      </c>
      <c r="V13" s="663"/>
    </row>
    <row r="14" spans="1:22" s="494" customFormat="1" ht="56.25" customHeight="1">
      <c r="A14" s="424" t="s">
        <v>318</v>
      </c>
      <c r="B14" s="655" t="s">
        <v>389</v>
      </c>
      <c r="C14" s="656">
        <f>ROUND(S14/N14,4)</f>
        <v>1.844</v>
      </c>
      <c r="D14" s="657"/>
      <c r="E14" s="657"/>
      <c r="F14" s="664">
        <f>ROUND(N14/K14/5*1000,1)</f>
        <v>92.1</v>
      </c>
      <c r="G14" s="659"/>
      <c r="H14" s="662">
        <f>F14-G14</f>
        <v>92.1</v>
      </c>
      <c r="I14" s="656"/>
      <c r="J14" s="662">
        <f>F14-I14</f>
        <v>92.1</v>
      </c>
      <c r="K14" s="665">
        <f>K15+K16</f>
        <v>856</v>
      </c>
      <c r="L14" s="665">
        <f>L15+L16</f>
        <v>856</v>
      </c>
      <c r="M14" s="656">
        <f>K14-L14</f>
        <v>0</v>
      </c>
      <c r="N14" s="660">
        <f aca="true" t="shared" si="1" ref="N14:V14">N15+N16</f>
        <v>394.2600000004</v>
      </c>
      <c r="O14" s="660">
        <f t="shared" si="1"/>
        <v>321</v>
      </c>
      <c r="P14" s="660">
        <f t="shared" si="1"/>
        <v>73.2600000004</v>
      </c>
      <c r="Q14" s="660">
        <f t="shared" si="1"/>
        <v>0</v>
      </c>
      <c r="R14" s="660">
        <f t="shared" si="1"/>
        <v>0</v>
      </c>
      <c r="S14" s="662">
        <f t="shared" si="1"/>
        <v>727</v>
      </c>
      <c r="T14" s="662">
        <f t="shared" si="1"/>
        <v>727</v>
      </c>
      <c r="U14" s="662">
        <f t="shared" si="1"/>
        <v>0</v>
      </c>
      <c r="V14" s="662">
        <f t="shared" si="1"/>
        <v>0</v>
      </c>
    </row>
    <row r="15" spans="1:22" s="675" customFormat="1" ht="24">
      <c r="A15" s="666" t="s">
        <v>50</v>
      </c>
      <c r="B15" s="667" t="s">
        <v>390</v>
      </c>
      <c r="C15" s="668">
        <f>ROUND(S15/N15,6)</f>
        <v>1.843961</v>
      </c>
      <c r="D15" s="657">
        <v>1.66</v>
      </c>
      <c r="E15" s="657">
        <v>2.65</v>
      </c>
      <c r="F15" s="669">
        <f>'Эл.7-1 1 пол.'!C71</f>
        <v>92.11682243</v>
      </c>
      <c r="G15" s="669">
        <v>75</v>
      </c>
      <c r="H15" s="670">
        <f>F15-G15</f>
        <v>17.11682243</v>
      </c>
      <c r="I15" s="670">
        <f>F15</f>
        <v>92.11682243</v>
      </c>
      <c r="J15" s="670">
        <f>F15-I15</f>
        <v>0</v>
      </c>
      <c r="K15" s="668">
        <v>856</v>
      </c>
      <c r="L15" s="668">
        <v>856</v>
      </c>
      <c r="M15" s="668">
        <f>K15-L15</f>
        <v>0</v>
      </c>
      <c r="N15" s="671">
        <f>O15+P15+Q15+R15</f>
        <v>394.2600000004</v>
      </c>
      <c r="O15" s="672">
        <f>G15*L15*5/1000</f>
        <v>321</v>
      </c>
      <c r="P15" s="672">
        <f>H15*L15*5/1000</f>
        <v>73.2600000004</v>
      </c>
      <c r="Q15" s="672">
        <f>ROUND(I15*M15*6/1000,4)</f>
        <v>0</v>
      </c>
      <c r="R15" s="672">
        <f>ROUND(J15*M15*6/1000,4)</f>
        <v>0</v>
      </c>
      <c r="S15" s="673">
        <f>T15+U15</f>
        <v>727</v>
      </c>
      <c r="T15" s="673">
        <f>ROUND(D15*O15+E15*P15,1)</f>
        <v>727</v>
      </c>
      <c r="U15" s="673">
        <f>ROUND(D15*Q15+E15*R15,1)</f>
        <v>0</v>
      </c>
      <c r="V15" s="674"/>
    </row>
    <row r="16" spans="1:22" s="675" customFormat="1" ht="24">
      <c r="A16" s="676" t="s">
        <v>52</v>
      </c>
      <c r="B16" s="667" t="s">
        <v>391</v>
      </c>
      <c r="C16" s="668" t="e">
        <f>ROUND(S16/N16,4)</f>
        <v>#DIV/0!</v>
      </c>
      <c r="D16" s="657"/>
      <c r="E16" s="657"/>
      <c r="F16" s="673"/>
      <c r="G16" s="673"/>
      <c r="H16" s="673">
        <f>F16-G16</f>
        <v>0</v>
      </c>
      <c r="I16" s="673"/>
      <c r="J16" s="673">
        <f>F16-I16</f>
        <v>0</v>
      </c>
      <c r="K16" s="668"/>
      <c r="L16" s="668"/>
      <c r="M16" s="668">
        <f>K16-L16</f>
        <v>0</v>
      </c>
      <c r="N16" s="671">
        <f>O16+P16+Q16+R16</f>
        <v>0</v>
      </c>
      <c r="O16" s="672">
        <f>ROUND(G16*L16*6/1000,4)</f>
        <v>0</v>
      </c>
      <c r="P16" s="672">
        <f>ROUND(H16*L16*6/1000,4)</f>
        <v>0</v>
      </c>
      <c r="Q16" s="672">
        <f>ROUND(I16*M16*6/1000,4)</f>
        <v>0</v>
      </c>
      <c r="R16" s="672">
        <f>ROUND(J16*M16*6/1000,4)</f>
        <v>0</v>
      </c>
      <c r="S16" s="673">
        <f>T16+U16</f>
        <v>0</v>
      </c>
      <c r="T16" s="673">
        <f>ROUND(D16*O16+E16*P16,1)</f>
        <v>0</v>
      </c>
      <c r="U16" s="673">
        <f>ROUND(D16*Q16+E16*R16,1)</f>
        <v>0</v>
      </c>
      <c r="V16" s="677"/>
    </row>
    <row r="17" spans="1:22" s="494" customFormat="1" ht="29.25" customHeight="1">
      <c r="A17" s="880" t="s">
        <v>246</v>
      </c>
      <c r="B17" s="880"/>
      <c r="C17" s="678">
        <f>ROUND(S17/N17,6)</f>
        <v>1.843961</v>
      </c>
      <c r="D17" s="679"/>
      <c r="E17" s="680"/>
      <c r="F17" s="681">
        <f>ROUND(N17/K17/5*1000,1)</f>
        <v>92.1</v>
      </c>
      <c r="G17" s="682">
        <f>ROUND(O17/L17/5*1000,1)</f>
        <v>75</v>
      </c>
      <c r="H17" s="682">
        <f>ROUND(P17/L17/5*1000,1)</f>
        <v>17.1</v>
      </c>
      <c r="I17" s="682" t="e">
        <f>ROUND(Q17/M17/6*1000,1)</f>
        <v>#DIV/0!</v>
      </c>
      <c r="J17" s="682" t="e">
        <f>ROUND(R17/M17/6*1000,1)</f>
        <v>#DIV/0!</v>
      </c>
      <c r="K17" s="683">
        <f aca="true" t="shared" si="2" ref="K17:V17">SUM(K13:K14)</f>
        <v>856</v>
      </c>
      <c r="L17" s="683">
        <f t="shared" si="2"/>
        <v>856</v>
      </c>
      <c r="M17" s="683">
        <f t="shared" si="2"/>
        <v>0</v>
      </c>
      <c r="N17" s="684">
        <f t="shared" si="2"/>
        <v>394.2600000004</v>
      </c>
      <c r="O17" s="684">
        <f t="shared" si="2"/>
        <v>321</v>
      </c>
      <c r="P17" s="684">
        <f t="shared" si="2"/>
        <v>73.2600000004</v>
      </c>
      <c r="Q17" s="684">
        <f t="shared" si="2"/>
        <v>0</v>
      </c>
      <c r="R17" s="684">
        <f t="shared" si="2"/>
        <v>0</v>
      </c>
      <c r="S17" s="685">
        <f t="shared" si="2"/>
        <v>727</v>
      </c>
      <c r="T17" s="686">
        <f t="shared" si="2"/>
        <v>727</v>
      </c>
      <c r="U17" s="686">
        <f t="shared" si="2"/>
        <v>0</v>
      </c>
      <c r="V17" s="686">
        <f t="shared" si="2"/>
        <v>0</v>
      </c>
    </row>
    <row r="18" ht="27" customHeight="1"/>
    <row r="19" spans="1:22" s="651" customFormat="1" ht="19.5" customHeight="1">
      <c r="A19" s="875" t="s">
        <v>105</v>
      </c>
      <c r="B19" s="875" t="s">
        <v>377</v>
      </c>
      <c r="C19" s="884" t="s">
        <v>428</v>
      </c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</row>
    <row r="20" spans="1:22" s="651" customFormat="1" ht="38.25" customHeight="1">
      <c r="A20" s="875"/>
      <c r="B20" s="875"/>
      <c r="C20" s="879" t="s">
        <v>378</v>
      </c>
      <c r="D20" s="879"/>
      <c r="E20" s="879"/>
      <c r="F20" s="879" t="s">
        <v>356</v>
      </c>
      <c r="G20" s="879"/>
      <c r="H20" s="879"/>
      <c r="I20" s="879"/>
      <c r="J20" s="879"/>
      <c r="K20" s="879" t="s">
        <v>357</v>
      </c>
      <c r="L20" s="879"/>
      <c r="M20" s="879"/>
      <c r="N20" s="879" t="s">
        <v>379</v>
      </c>
      <c r="O20" s="879"/>
      <c r="P20" s="879"/>
      <c r="Q20" s="879"/>
      <c r="R20" s="879"/>
      <c r="S20" s="879" t="s">
        <v>380</v>
      </c>
      <c r="T20" s="879"/>
      <c r="U20" s="879"/>
      <c r="V20" s="875" t="s">
        <v>381</v>
      </c>
    </row>
    <row r="21" spans="1:22" s="651" customFormat="1" ht="12" customHeight="1">
      <c r="A21" s="875"/>
      <c r="B21" s="875"/>
      <c r="C21" s="879"/>
      <c r="D21" s="879"/>
      <c r="E21" s="879"/>
      <c r="F21" s="875" t="s">
        <v>359</v>
      </c>
      <c r="G21" s="875" t="s">
        <v>360</v>
      </c>
      <c r="H21" s="875"/>
      <c r="I21" s="875"/>
      <c r="J21" s="875"/>
      <c r="K21" s="875" t="s">
        <v>359</v>
      </c>
      <c r="L21" s="875" t="s">
        <v>361</v>
      </c>
      <c r="M21" s="875"/>
      <c r="N21" s="875" t="s">
        <v>359</v>
      </c>
      <c r="O21" s="875" t="s">
        <v>360</v>
      </c>
      <c r="P21" s="875"/>
      <c r="Q21" s="875"/>
      <c r="R21" s="875"/>
      <c r="S21" s="875" t="s">
        <v>359</v>
      </c>
      <c r="T21" s="875" t="s">
        <v>361</v>
      </c>
      <c r="U21" s="875"/>
      <c r="V21" s="875"/>
    </row>
    <row r="22" spans="1:22" s="651" customFormat="1" ht="23.25" customHeight="1">
      <c r="A22" s="875"/>
      <c r="B22" s="875"/>
      <c r="C22" s="875" t="s">
        <v>392</v>
      </c>
      <c r="D22" s="876" t="s">
        <v>360</v>
      </c>
      <c r="E22" s="876"/>
      <c r="F22" s="875"/>
      <c r="G22" s="875" t="s">
        <v>362</v>
      </c>
      <c r="H22" s="875"/>
      <c r="I22" s="875" t="s">
        <v>363</v>
      </c>
      <c r="J22" s="875"/>
      <c r="K22" s="875"/>
      <c r="L22" s="876" t="s">
        <v>362</v>
      </c>
      <c r="M22" s="876" t="s">
        <v>363</v>
      </c>
      <c r="N22" s="875"/>
      <c r="O22" s="875" t="s">
        <v>362</v>
      </c>
      <c r="P22" s="875"/>
      <c r="Q22" s="875" t="s">
        <v>363</v>
      </c>
      <c r="R22" s="875"/>
      <c r="S22" s="875"/>
      <c r="T22" s="876" t="s">
        <v>362</v>
      </c>
      <c r="U22" s="876" t="s">
        <v>363</v>
      </c>
      <c r="V22" s="875"/>
    </row>
    <row r="23" spans="1:22" s="651" customFormat="1" ht="47.25" customHeight="1">
      <c r="A23" s="875"/>
      <c r="B23" s="875"/>
      <c r="C23" s="875"/>
      <c r="D23" s="427" t="s">
        <v>384</v>
      </c>
      <c r="E23" s="427" t="s">
        <v>385</v>
      </c>
      <c r="F23" s="875"/>
      <c r="G23" s="427" t="s">
        <v>364</v>
      </c>
      <c r="H23" s="427" t="s">
        <v>365</v>
      </c>
      <c r="I23" s="427" t="s">
        <v>364</v>
      </c>
      <c r="J23" s="427" t="s">
        <v>365</v>
      </c>
      <c r="K23" s="875"/>
      <c r="L23" s="876"/>
      <c r="M23" s="876"/>
      <c r="N23" s="875"/>
      <c r="O23" s="427" t="s">
        <v>364</v>
      </c>
      <c r="P23" s="427" t="s">
        <v>365</v>
      </c>
      <c r="Q23" s="427" t="s">
        <v>364</v>
      </c>
      <c r="R23" s="427" t="s">
        <v>365</v>
      </c>
      <c r="S23" s="875"/>
      <c r="T23" s="876"/>
      <c r="U23" s="876"/>
      <c r="V23" s="875"/>
    </row>
    <row r="24" spans="1:22" s="654" customFormat="1" ht="10.5" customHeight="1">
      <c r="A24" s="652"/>
      <c r="B24" s="653">
        <v>1</v>
      </c>
      <c r="C24" s="653">
        <f aca="true" t="shared" si="3" ref="C24:V24">B24+1</f>
        <v>2</v>
      </c>
      <c r="D24" s="653">
        <f t="shared" si="3"/>
        <v>3</v>
      </c>
      <c r="E24" s="653">
        <f t="shared" si="3"/>
        <v>4</v>
      </c>
      <c r="F24" s="653">
        <f t="shared" si="3"/>
        <v>5</v>
      </c>
      <c r="G24" s="653">
        <f t="shared" si="3"/>
        <v>6</v>
      </c>
      <c r="H24" s="653">
        <f t="shared" si="3"/>
        <v>7</v>
      </c>
      <c r="I24" s="653">
        <f t="shared" si="3"/>
        <v>8</v>
      </c>
      <c r="J24" s="653">
        <f t="shared" si="3"/>
        <v>9</v>
      </c>
      <c r="K24" s="653">
        <f t="shared" si="3"/>
        <v>10</v>
      </c>
      <c r="L24" s="653">
        <f t="shared" si="3"/>
        <v>11</v>
      </c>
      <c r="M24" s="653">
        <f t="shared" si="3"/>
        <v>12</v>
      </c>
      <c r="N24" s="653">
        <f t="shared" si="3"/>
        <v>13</v>
      </c>
      <c r="O24" s="653">
        <f t="shared" si="3"/>
        <v>14</v>
      </c>
      <c r="P24" s="653">
        <f t="shared" si="3"/>
        <v>15</v>
      </c>
      <c r="Q24" s="653">
        <f t="shared" si="3"/>
        <v>16</v>
      </c>
      <c r="R24" s="653">
        <f t="shared" si="3"/>
        <v>17</v>
      </c>
      <c r="S24" s="653">
        <f t="shared" si="3"/>
        <v>18</v>
      </c>
      <c r="T24" s="653">
        <f t="shared" si="3"/>
        <v>19</v>
      </c>
      <c r="U24" s="653">
        <f t="shared" si="3"/>
        <v>20</v>
      </c>
      <c r="V24" s="653">
        <f t="shared" si="3"/>
        <v>21</v>
      </c>
    </row>
    <row r="25" spans="1:22" s="689" customFormat="1" ht="36">
      <c r="A25" s="424" t="s">
        <v>310</v>
      </c>
      <c r="B25" s="655" t="s">
        <v>388</v>
      </c>
      <c r="C25" s="656" t="e">
        <f>ROUND(S25/N25,4)</f>
        <v>#DIV/0!</v>
      </c>
      <c r="D25" s="657"/>
      <c r="E25" s="657"/>
      <c r="F25" s="687"/>
      <c r="G25" s="688"/>
      <c r="H25" s="688">
        <f>F25-G25</f>
        <v>0</v>
      </c>
      <c r="I25" s="688"/>
      <c r="J25" s="688">
        <f>F25-I25</f>
        <v>0</v>
      </c>
      <c r="K25" s="656"/>
      <c r="L25" s="656"/>
      <c r="M25" s="656">
        <f>K25-L25</f>
        <v>0</v>
      </c>
      <c r="N25" s="660">
        <f>O25+P25+Q25+R25</f>
        <v>0</v>
      </c>
      <c r="O25" s="661">
        <f>ROUND(G25*L25*6/1000,4)</f>
        <v>0</v>
      </c>
      <c r="P25" s="661">
        <f>ROUND(H25*L25*6/1000,4)</f>
        <v>0</v>
      </c>
      <c r="Q25" s="661">
        <f>ROUND(I25*M25*6/1000,4)</f>
        <v>0</v>
      </c>
      <c r="R25" s="661">
        <f>ROUND(J25*M25*6/1000,4)</f>
        <v>0</v>
      </c>
      <c r="S25" s="662">
        <f>T25+U25</f>
        <v>0</v>
      </c>
      <c r="T25" s="662">
        <f>ROUND(D25*O25+E25*P25,1)</f>
        <v>0</v>
      </c>
      <c r="U25" s="662">
        <f>ROUND(D25*Q25+E25*R25,1)</f>
        <v>0</v>
      </c>
      <c r="V25" s="663"/>
    </row>
    <row r="26" spans="1:22" s="689" customFormat="1" ht="48">
      <c r="A26" s="424" t="s">
        <v>318</v>
      </c>
      <c r="B26" s="655" t="s">
        <v>389</v>
      </c>
      <c r="C26" s="656">
        <f>ROUND(S26/N26,4)</f>
        <v>1.844</v>
      </c>
      <c r="D26" s="657"/>
      <c r="E26" s="657"/>
      <c r="F26" s="690">
        <f>ROUND(N26/K26/5*1000,1)</f>
        <v>92.1</v>
      </c>
      <c r="G26" s="688"/>
      <c r="H26" s="688">
        <f>F26-G26</f>
        <v>92.1</v>
      </c>
      <c r="I26" s="688"/>
      <c r="J26" s="688">
        <f>F26-I26</f>
        <v>92.1</v>
      </c>
      <c r="K26" s="665">
        <f>K27+K28</f>
        <v>856</v>
      </c>
      <c r="L26" s="665">
        <f>L27+L28</f>
        <v>856</v>
      </c>
      <c r="M26" s="656">
        <f>K26-L26</f>
        <v>0</v>
      </c>
      <c r="N26" s="660">
        <f aca="true" t="shared" si="4" ref="N26:V26">N27+N28</f>
        <v>394.26</v>
      </c>
      <c r="O26" s="660">
        <f t="shared" si="4"/>
        <v>321</v>
      </c>
      <c r="P26" s="660">
        <f t="shared" si="4"/>
        <v>73.26</v>
      </c>
      <c r="Q26" s="660">
        <f t="shared" si="4"/>
        <v>0</v>
      </c>
      <c r="R26" s="660">
        <f t="shared" si="4"/>
        <v>0</v>
      </c>
      <c r="S26" s="662">
        <f t="shared" si="4"/>
        <v>727</v>
      </c>
      <c r="T26" s="662">
        <f t="shared" si="4"/>
        <v>727</v>
      </c>
      <c r="U26" s="662">
        <f t="shared" si="4"/>
        <v>0</v>
      </c>
      <c r="V26" s="662">
        <f t="shared" si="4"/>
        <v>0</v>
      </c>
    </row>
    <row r="27" spans="1:22" s="693" customFormat="1" ht="24">
      <c r="A27" s="666" t="s">
        <v>50</v>
      </c>
      <c r="B27" s="667" t="s">
        <v>390</v>
      </c>
      <c r="C27" s="668">
        <f>ROUND(S27/N27,4)</f>
        <v>1.844</v>
      </c>
      <c r="D27" s="657">
        <v>1.66</v>
      </c>
      <c r="E27" s="657">
        <v>2.65</v>
      </c>
      <c r="F27" s="691">
        <f>'Эл.7-1 1 пол.'!C71</f>
        <v>92.11682243</v>
      </c>
      <c r="G27" s="691">
        <v>75</v>
      </c>
      <c r="H27" s="692">
        <f>F27-G27</f>
        <v>17.11682243</v>
      </c>
      <c r="I27" s="692">
        <f>F27</f>
        <v>92.11682243</v>
      </c>
      <c r="J27" s="692">
        <v>0</v>
      </c>
      <c r="K27" s="668">
        <v>856</v>
      </c>
      <c r="L27" s="668">
        <v>856</v>
      </c>
      <c r="M27" s="668">
        <f>K27-L27</f>
        <v>0</v>
      </c>
      <c r="N27" s="671">
        <f>O27+P27+Q27+R27</f>
        <v>394.26</v>
      </c>
      <c r="O27" s="672">
        <f>ROUND(G27*L27*5/1000,4)</f>
        <v>321</v>
      </c>
      <c r="P27" s="672">
        <f>ROUND(H27*L27*5/1000,4)</f>
        <v>73.26</v>
      </c>
      <c r="Q27" s="672">
        <f>ROUND(I27*M27*6/1000,4)</f>
        <v>0</v>
      </c>
      <c r="R27" s="672">
        <f>ROUND(J27*M27*6/1000,4)</f>
        <v>0</v>
      </c>
      <c r="S27" s="673">
        <f>T27+U27</f>
        <v>727</v>
      </c>
      <c r="T27" s="673">
        <f>ROUND(D27*O27+E27*P27,1)</f>
        <v>727</v>
      </c>
      <c r="U27" s="673">
        <f>ROUND(D27*Q27+E27*R27,1)</f>
        <v>0</v>
      </c>
      <c r="V27" s="674"/>
    </row>
    <row r="28" spans="1:22" s="694" customFormat="1" ht="39.75" customHeight="1">
      <c r="A28" s="676" t="s">
        <v>52</v>
      </c>
      <c r="B28" s="667" t="s">
        <v>391</v>
      </c>
      <c r="C28" s="668" t="e">
        <f>ROUND(S28/N28,4)</f>
        <v>#DIV/0!</v>
      </c>
      <c r="D28" s="657"/>
      <c r="E28" s="657"/>
      <c r="F28" s="692"/>
      <c r="G28" s="692"/>
      <c r="H28" s="692">
        <f>F28-G28</f>
        <v>0</v>
      </c>
      <c r="I28" s="692"/>
      <c r="J28" s="692">
        <f>F28-I28</f>
        <v>0</v>
      </c>
      <c r="K28" s="668"/>
      <c r="L28" s="668"/>
      <c r="M28" s="668">
        <f>K28-L28</f>
        <v>0</v>
      </c>
      <c r="N28" s="671">
        <f>O28+P28+Q28+R28</f>
        <v>0</v>
      </c>
      <c r="O28" s="672">
        <f>ROUND(G28*L28*5/1000,4)</f>
        <v>0</v>
      </c>
      <c r="P28" s="672">
        <f>ROUND(H28*L28*6/1000,4)</f>
        <v>0</v>
      </c>
      <c r="Q28" s="672">
        <f>ROUND(I28*M28*6/1000,4)</f>
        <v>0</v>
      </c>
      <c r="R28" s="672">
        <f>ROUND(J28*M28*6/1000,4)</f>
        <v>0</v>
      </c>
      <c r="S28" s="673">
        <f>T28+U28</f>
        <v>0</v>
      </c>
      <c r="T28" s="673">
        <f>ROUND(D28*O28+E28*P28,1)</f>
        <v>0</v>
      </c>
      <c r="U28" s="673">
        <f>ROUND(D28*Q28+E28*R28,1)</f>
        <v>0</v>
      </c>
      <c r="V28" s="677"/>
    </row>
    <row r="29" spans="1:22" s="705" customFormat="1" ht="27" customHeight="1">
      <c r="A29" s="882" t="s">
        <v>86</v>
      </c>
      <c r="B29" s="882"/>
      <c r="C29" s="696">
        <f>ROUND(S29/N29,6)</f>
        <v>1.843961</v>
      </c>
      <c r="D29" s="697"/>
      <c r="E29" s="698"/>
      <c r="F29" s="699">
        <f>ROUND(N29/K29/5*1000,1)</f>
        <v>92.1</v>
      </c>
      <c r="G29" s="700">
        <f>ROUND(O29/L29/5*1000,1)</f>
        <v>75</v>
      </c>
      <c r="H29" s="700">
        <f>ROUND(P29/L29/5*1000,1)</f>
        <v>17.1</v>
      </c>
      <c r="I29" s="700" t="e">
        <f>ROUND(Q29/M29/6*1000,1)</f>
        <v>#DIV/0!</v>
      </c>
      <c r="J29" s="700" t="e">
        <f>ROUND(R29/M29/6*1000,1)</f>
        <v>#DIV/0!</v>
      </c>
      <c r="K29" s="701">
        <f aca="true" t="shared" si="5" ref="K29:V29">SUM(K25:K26)</f>
        <v>856</v>
      </c>
      <c r="L29" s="701">
        <f t="shared" si="5"/>
        <v>856</v>
      </c>
      <c r="M29" s="701">
        <f t="shared" si="5"/>
        <v>0</v>
      </c>
      <c r="N29" s="702">
        <f t="shared" si="5"/>
        <v>394.26</v>
      </c>
      <c r="O29" s="702">
        <f t="shared" si="5"/>
        <v>321</v>
      </c>
      <c r="P29" s="702">
        <f t="shared" si="5"/>
        <v>73.26</v>
      </c>
      <c r="Q29" s="702">
        <f t="shared" si="5"/>
        <v>0</v>
      </c>
      <c r="R29" s="702">
        <f t="shared" si="5"/>
        <v>0</v>
      </c>
      <c r="S29" s="703">
        <f t="shared" si="5"/>
        <v>727</v>
      </c>
      <c r="T29" s="704">
        <f t="shared" si="5"/>
        <v>727</v>
      </c>
      <c r="U29" s="704">
        <f t="shared" si="5"/>
        <v>0</v>
      </c>
      <c r="V29" s="704">
        <f t="shared" si="5"/>
        <v>0</v>
      </c>
    </row>
    <row r="30" spans="1:22" s="705" customFormat="1" ht="15" customHeight="1">
      <c r="A30" s="695"/>
      <c r="B30" s="706"/>
      <c r="C30" s="707"/>
      <c r="D30" s="708"/>
      <c r="E30" s="709"/>
      <c r="F30" s="710"/>
      <c r="G30" s="710"/>
      <c r="H30" s="710"/>
      <c r="I30" s="710"/>
      <c r="J30" s="710"/>
      <c r="K30" s="711"/>
      <c r="L30" s="711"/>
      <c r="M30" s="711"/>
      <c r="N30" s="712"/>
      <c r="O30" s="712"/>
      <c r="P30" s="712"/>
      <c r="Q30" s="712"/>
      <c r="R30" s="712"/>
      <c r="S30" s="713"/>
      <c r="T30" s="714"/>
      <c r="U30" s="714"/>
      <c r="V30" s="715"/>
    </row>
    <row r="31" spans="1:15" s="208" customFormat="1" ht="15.75">
      <c r="A31" s="274"/>
      <c r="B31" s="275" t="s">
        <v>136</v>
      </c>
      <c r="C31" s="275"/>
      <c r="D31" s="274"/>
      <c r="E31" s="274"/>
      <c r="F31" s="221"/>
      <c r="G31" s="222"/>
      <c r="H31" s="222"/>
      <c r="I31" s="222"/>
      <c r="J31" s="222"/>
      <c r="K31" s="222"/>
      <c r="L31" s="222"/>
      <c r="M31" s="274"/>
      <c r="N31" s="274"/>
      <c r="O31" s="274"/>
    </row>
    <row r="32" spans="1:15" s="208" customFormat="1" ht="15.75">
      <c r="A32" s="274"/>
      <c r="B32" s="275" t="s">
        <v>128</v>
      </c>
      <c r="C32" s="275"/>
      <c r="D32" s="274"/>
      <c r="E32" s="274"/>
      <c r="F32" s="221"/>
      <c r="G32" s="222"/>
      <c r="H32" s="222"/>
      <c r="I32" s="222"/>
      <c r="J32" s="222"/>
      <c r="K32" s="222"/>
      <c r="L32" s="222"/>
      <c r="M32" s="274"/>
      <c r="N32" s="274"/>
      <c r="O32" s="274"/>
    </row>
    <row r="33" spans="1:22" s="651" customFormat="1" ht="12.75" customHeight="1">
      <c r="A33" s="875" t="s">
        <v>105</v>
      </c>
      <c r="B33" s="875" t="s">
        <v>377</v>
      </c>
      <c r="C33" s="885" t="s">
        <v>393</v>
      </c>
      <c r="D33" s="885"/>
      <c r="E33" s="885"/>
      <c r="F33" s="885"/>
      <c r="G33" s="885"/>
      <c r="H33" s="885"/>
      <c r="I33" s="885"/>
      <c r="J33" s="885"/>
      <c r="K33" s="885"/>
      <c r="L33" s="885"/>
      <c r="M33" s="885"/>
      <c r="N33" s="885"/>
      <c r="O33" s="885"/>
      <c r="P33" s="885"/>
      <c r="Q33" s="885"/>
      <c r="R33" s="885"/>
      <c r="S33" s="885"/>
      <c r="T33" s="885"/>
      <c r="U33" s="885"/>
      <c r="V33" s="885"/>
    </row>
    <row r="34" spans="1:22" s="651" customFormat="1" ht="41.25" customHeight="1">
      <c r="A34" s="875"/>
      <c r="B34" s="875"/>
      <c r="C34" s="879" t="s">
        <v>378</v>
      </c>
      <c r="D34" s="879"/>
      <c r="E34" s="879"/>
      <c r="F34" s="879" t="s">
        <v>356</v>
      </c>
      <c r="G34" s="879"/>
      <c r="H34" s="879"/>
      <c r="I34" s="879"/>
      <c r="J34" s="879"/>
      <c r="K34" s="879" t="s">
        <v>357</v>
      </c>
      <c r="L34" s="879"/>
      <c r="M34" s="879"/>
      <c r="N34" s="879" t="s">
        <v>379</v>
      </c>
      <c r="O34" s="879"/>
      <c r="P34" s="879"/>
      <c r="Q34" s="879"/>
      <c r="R34" s="879"/>
      <c r="S34" s="879" t="s">
        <v>380</v>
      </c>
      <c r="T34" s="879"/>
      <c r="U34" s="879"/>
      <c r="V34" s="875" t="s">
        <v>381</v>
      </c>
    </row>
    <row r="35" spans="1:22" s="651" customFormat="1" ht="12" customHeight="1">
      <c r="A35" s="875"/>
      <c r="B35" s="875"/>
      <c r="C35" s="879"/>
      <c r="D35" s="879"/>
      <c r="E35" s="879"/>
      <c r="F35" s="875" t="s">
        <v>359</v>
      </c>
      <c r="G35" s="875" t="s">
        <v>360</v>
      </c>
      <c r="H35" s="875"/>
      <c r="I35" s="875"/>
      <c r="J35" s="875"/>
      <c r="K35" s="875" t="s">
        <v>359</v>
      </c>
      <c r="L35" s="875" t="s">
        <v>361</v>
      </c>
      <c r="M35" s="875"/>
      <c r="N35" s="875" t="s">
        <v>382</v>
      </c>
      <c r="O35" s="875" t="s">
        <v>360</v>
      </c>
      <c r="P35" s="875"/>
      <c r="Q35" s="875"/>
      <c r="R35" s="875"/>
      <c r="S35" s="875" t="s">
        <v>359</v>
      </c>
      <c r="T35" s="875" t="s">
        <v>361</v>
      </c>
      <c r="U35" s="875"/>
      <c r="V35" s="875"/>
    </row>
    <row r="36" spans="1:22" s="651" customFormat="1" ht="23.25" customHeight="1">
      <c r="A36" s="875"/>
      <c r="B36" s="875"/>
      <c r="C36" s="875" t="s">
        <v>383</v>
      </c>
      <c r="D36" s="876" t="s">
        <v>360</v>
      </c>
      <c r="E36" s="876"/>
      <c r="F36" s="875"/>
      <c r="G36" s="875" t="s">
        <v>362</v>
      </c>
      <c r="H36" s="875"/>
      <c r="I36" s="875" t="s">
        <v>363</v>
      </c>
      <c r="J36" s="875"/>
      <c r="K36" s="875"/>
      <c r="L36" s="876" t="s">
        <v>362</v>
      </c>
      <c r="M36" s="876" t="s">
        <v>363</v>
      </c>
      <c r="N36" s="875"/>
      <c r="O36" s="875" t="s">
        <v>362</v>
      </c>
      <c r="P36" s="875"/>
      <c r="Q36" s="875" t="s">
        <v>363</v>
      </c>
      <c r="R36" s="875"/>
      <c r="S36" s="875"/>
      <c r="T36" s="876" t="s">
        <v>362</v>
      </c>
      <c r="U36" s="876" t="s">
        <v>363</v>
      </c>
      <c r="V36" s="875"/>
    </row>
    <row r="37" spans="1:22" s="651" customFormat="1" ht="52.5" customHeight="1">
      <c r="A37" s="875"/>
      <c r="B37" s="875"/>
      <c r="C37" s="875"/>
      <c r="D37" s="427" t="s">
        <v>384</v>
      </c>
      <c r="E37" s="427" t="s">
        <v>385</v>
      </c>
      <c r="F37" s="875"/>
      <c r="G37" s="427" t="s">
        <v>364</v>
      </c>
      <c r="H37" s="427" t="s">
        <v>365</v>
      </c>
      <c r="I37" s="427" t="s">
        <v>364</v>
      </c>
      <c r="J37" s="427" t="s">
        <v>365</v>
      </c>
      <c r="K37" s="875"/>
      <c r="L37" s="876"/>
      <c r="M37" s="876"/>
      <c r="N37" s="875"/>
      <c r="O37" s="427" t="s">
        <v>386</v>
      </c>
      <c r="P37" s="427" t="s">
        <v>387</v>
      </c>
      <c r="Q37" s="427" t="s">
        <v>386</v>
      </c>
      <c r="R37" s="427" t="s">
        <v>387</v>
      </c>
      <c r="S37" s="875"/>
      <c r="T37" s="876"/>
      <c r="U37" s="876"/>
      <c r="V37" s="875"/>
    </row>
    <row r="38" spans="1:22" s="654" customFormat="1" ht="10.5" customHeight="1">
      <c r="A38" s="652"/>
      <c r="B38" s="653">
        <v>1</v>
      </c>
      <c r="C38" s="653">
        <f aca="true" t="shared" si="6" ref="C38:V38">B38+1</f>
        <v>2</v>
      </c>
      <c r="D38" s="653">
        <f t="shared" si="6"/>
        <v>3</v>
      </c>
      <c r="E38" s="653">
        <f t="shared" si="6"/>
        <v>4</v>
      </c>
      <c r="F38" s="653">
        <f t="shared" si="6"/>
        <v>5</v>
      </c>
      <c r="G38" s="653">
        <f t="shared" si="6"/>
        <v>6</v>
      </c>
      <c r="H38" s="653">
        <f t="shared" si="6"/>
        <v>7</v>
      </c>
      <c r="I38" s="653">
        <f t="shared" si="6"/>
        <v>8</v>
      </c>
      <c r="J38" s="653">
        <f t="shared" si="6"/>
        <v>9</v>
      </c>
      <c r="K38" s="653">
        <f t="shared" si="6"/>
        <v>10</v>
      </c>
      <c r="L38" s="653">
        <f t="shared" si="6"/>
        <v>11</v>
      </c>
      <c r="M38" s="653">
        <f t="shared" si="6"/>
        <v>12</v>
      </c>
      <c r="N38" s="653">
        <f t="shared" si="6"/>
        <v>13</v>
      </c>
      <c r="O38" s="653">
        <f t="shared" si="6"/>
        <v>14</v>
      </c>
      <c r="P38" s="653">
        <f t="shared" si="6"/>
        <v>15</v>
      </c>
      <c r="Q38" s="653">
        <f t="shared" si="6"/>
        <v>16</v>
      </c>
      <c r="R38" s="653">
        <f t="shared" si="6"/>
        <v>17</v>
      </c>
      <c r="S38" s="653">
        <f t="shared" si="6"/>
        <v>18</v>
      </c>
      <c r="T38" s="653">
        <f t="shared" si="6"/>
        <v>19</v>
      </c>
      <c r="U38" s="653">
        <f t="shared" si="6"/>
        <v>20</v>
      </c>
      <c r="V38" s="653">
        <f t="shared" si="6"/>
        <v>21</v>
      </c>
    </row>
    <row r="39" spans="1:22" s="494" customFormat="1" ht="36">
      <c r="A39" s="424" t="s">
        <v>310</v>
      </c>
      <c r="B39" s="655" t="s">
        <v>388</v>
      </c>
      <c r="C39" s="656" t="e">
        <f>ROUND(S39/N39,4)</f>
        <v>#DIV/0!</v>
      </c>
      <c r="D39" s="657"/>
      <c r="E39" s="657"/>
      <c r="F39" s="658"/>
      <c r="G39" s="659"/>
      <c r="H39" s="659">
        <f>F39-G39</f>
        <v>0</v>
      </c>
      <c r="I39" s="659"/>
      <c r="J39" s="659">
        <f>F39-I39</f>
        <v>0</v>
      </c>
      <c r="K39" s="656"/>
      <c r="L39" s="656"/>
      <c r="M39" s="656">
        <f>K39-L39</f>
        <v>0</v>
      </c>
      <c r="N39" s="660">
        <f>O39+P39+Q39+R39</f>
        <v>0</v>
      </c>
      <c r="O39" s="661">
        <f>ROUND(G39*L39*6/1000,4)</f>
        <v>0</v>
      </c>
      <c r="P39" s="661">
        <f>ROUND(H39*L39*6/1000,4)</f>
        <v>0</v>
      </c>
      <c r="Q39" s="661">
        <f>ROUND(I39*M39*6/1000,4)</f>
        <v>0</v>
      </c>
      <c r="R39" s="661">
        <f>ROUND(J39*M39*6/1000,4)</f>
        <v>0</v>
      </c>
      <c r="S39" s="662">
        <f>T39+U39</f>
        <v>0</v>
      </c>
      <c r="T39" s="662">
        <f>ROUND(D39*O39+E39*P39,1)</f>
        <v>0</v>
      </c>
      <c r="U39" s="662">
        <f>ROUND(D39*Q39+E39*R39,1)</f>
        <v>0</v>
      </c>
      <c r="V39" s="663"/>
    </row>
    <row r="40" spans="1:22" s="494" customFormat="1" ht="56.25" customHeight="1">
      <c r="A40" s="424" t="s">
        <v>318</v>
      </c>
      <c r="B40" s="655" t="s">
        <v>389</v>
      </c>
      <c r="C40" s="656">
        <f>ROUND(S40/N40,4)</f>
        <v>1.844</v>
      </c>
      <c r="D40" s="657"/>
      <c r="E40" s="657"/>
      <c r="F40" s="664">
        <f>ROUND(N40/K40/1*1000,1)</f>
        <v>92.1</v>
      </c>
      <c r="G40" s="659"/>
      <c r="H40" s="662">
        <f>F40-G40</f>
        <v>92.1</v>
      </c>
      <c r="I40" s="656"/>
      <c r="J40" s="662">
        <f>F40-I40</f>
        <v>92.1</v>
      </c>
      <c r="K40" s="665">
        <f>K41+K42</f>
        <v>856</v>
      </c>
      <c r="L40" s="665">
        <f>L41+L42</f>
        <v>856</v>
      </c>
      <c r="M40" s="656">
        <f>K40-L40</f>
        <v>0</v>
      </c>
      <c r="N40" s="660">
        <f aca="true" t="shared" si="7" ref="N40:V40">N41+N42</f>
        <v>78.852</v>
      </c>
      <c r="O40" s="660">
        <f t="shared" si="7"/>
        <v>64.2</v>
      </c>
      <c r="P40" s="660">
        <f t="shared" si="7"/>
        <v>14.652</v>
      </c>
      <c r="Q40" s="660">
        <f t="shared" si="7"/>
        <v>0</v>
      </c>
      <c r="R40" s="660">
        <f t="shared" si="7"/>
        <v>0</v>
      </c>
      <c r="S40" s="662">
        <f t="shared" si="7"/>
        <v>145.4</v>
      </c>
      <c r="T40" s="662">
        <f t="shared" si="7"/>
        <v>145.4</v>
      </c>
      <c r="U40" s="662">
        <f t="shared" si="7"/>
        <v>0</v>
      </c>
      <c r="V40" s="662">
        <f t="shared" si="7"/>
        <v>0</v>
      </c>
    </row>
    <row r="41" spans="1:22" s="675" customFormat="1" ht="24">
      <c r="A41" s="666" t="s">
        <v>50</v>
      </c>
      <c r="B41" s="667" t="s">
        <v>390</v>
      </c>
      <c r="C41" s="668">
        <f>ROUND(S41/N41,4)</f>
        <v>1.844</v>
      </c>
      <c r="D41" s="657">
        <v>1.66</v>
      </c>
      <c r="E41" s="657">
        <v>2.65</v>
      </c>
      <c r="F41" s="669">
        <f>'Эл.7-1 1 пол.'!C71</f>
        <v>92.11682243</v>
      </c>
      <c r="G41" s="669">
        <v>75</v>
      </c>
      <c r="H41" s="670">
        <f>F41-G41</f>
        <v>17.11682243</v>
      </c>
      <c r="I41" s="670">
        <f>F41</f>
        <v>92.11682243</v>
      </c>
      <c r="J41" s="670">
        <f>F41-I41</f>
        <v>0</v>
      </c>
      <c r="K41" s="668">
        <v>856</v>
      </c>
      <c r="L41" s="668">
        <v>856</v>
      </c>
      <c r="M41" s="668">
        <f>K41-L41</f>
        <v>0</v>
      </c>
      <c r="N41" s="671">
        <f>O41+P41+Q41+R41</f>
        <v>78.852</v>
      </c>
      <c r="O41" s="672">
        <f>ROUND(G41*L41*1/1000,4)</f>
        <v>64.2</v>
      </c>
      <c r="P41" s="672">
        <f>ROUND(H41*L41*1/1000,4)</f>
        <v>14.652</v>
      </c>
      <c r="Q41" s="672">
        <f>ROUND(I41*M41*6/1000,4)</f>
        <v>0</v>
      </c>
      <c r="R41" s="672">
        <f>ROUND(J41*M41*6/1000,4)</f>
        <v>0</v>
      </c>
      <c r="S41" s="673">
        <f>T41+U41</f>
        <v>145.4</v>
      </c>
      <c r="T41" s="673">
        <f>ROUND(D41*O41+E41*P41,1)</f>
        <v>145.4</v>
      </c>
      <c r="U41" s="673">
        <f>ROUND(D41*Q41+E41*R41,1)</f>
        <v>0</v>
      </c>
      <c r="V41" s="674"/>
    </row>
    <row r="42" spans="1:22" s="675" customFormat="1" ht="24">
      <c r="A42" s="676" t="s">
        <v>52</v>
      </c>
      <c r="B42" s="667" t="s">
        <v>391</v>
      </c>
      <c r="C42" s="668" t="e">
        <f>ROUND(S42/N42,4)</f>
        <v>#DIV/0!</v>
      </c>
      <c r="D42" s="657"/>
      <c r="E42" s="657"/>
      <c r="F42" s="673"/>
      <c r="G42" s="673"/>
      <c r="H42" s="673">
        <f>F42-G42</f>
        <v>0</v>
      </c>
      <c r="I42" s="673"/>
      <c r="J42" s="673">
        <f>F42-I42</f>
        <v>0</v>
      </c>
      <c r="K42" s="668"/>
      <c r="L42" s="668"/>
      <c r="M42" s="668">
        <f>K42-L42</f>
        <v>0</v>
      </c>
      <c r="N42" s="671">
        <f>O42+P42+Q42+R42</f>
        <v>0</v>
      </c>
      <c r="O42" s="672">
        <f>ROUND(G42*L42*6/1000,4)</f>
        <v>0</v>
      </c>
      <c r="P42" s="672">
        <f>ROUND(H42*L42*6/1000,4)</f>
        <v>0</v>
      </c>
      <c r="Q42" s="672">
        <f>ROUND(I42*M42*6/1000,4)</f>
        <v>0</v>
      </c>
      <c r="R42" s="672">
        <f>ROUND(J42*M42*6/1000,4)</f>
        <v>0</v>
      </c>
      <c r="S42" s="673">
        <f>T42+U42</f>
        <v>0</v>
      </c>
      <c r="T42" s="673">
        <f>ROUND(D42*O42+E42*P42,1)</f>
        <v>0</v>
      </c>
      <c r="U42" s="673">
        <f>ROUND(D42*Q42+E42*R42,1)</f>
        <v>0</v>
      </c>
      <c r="V42" s="677"/>
    </row>
    <row r="43" spans="1:22" s="494" customFormat="1" ht="29.25" customHeight="1">
      <c r="A43" s="880" t="s">
        <v>246</v>
      </c>
      <c r="B43" s="880"/>
      <c r="C43" s="678">
        <f>ROUND(S43/N43,6)</f>
        <v>1.843961</v>
      </c>
      <c r="D43" s="679"/>
      <c r="E43" s="680"/>
      <c r="F43" s="681">
        <f>ROUND(N43/K43/1*1000,1)</f>
        <v>92.1</v>
      </c>
      <c r="G43" s="682">
        <f>ROUND(O43/L43/1*1000,1)</f>
        <v>75</v>
      </c>
      <c r="H43" s="682">
        <f>ROUND(P43/L43/1*1000,1)</f>
        <v>17.1</v>
      </c>
      <c r="I43" s="682" t="e">
        <f>ROUND(Q43/M43/6*1000,1)</f>
        <v>#DIV/0!</v>
      </c>
      <c r="J43" s="682" t="e">
        <f>ROUND(R43/M43/6*1000,1)</f>
        <v>#DIV/0!</v>
      </c>
      <c r="K43" s="683">
        <f aca="true" t="shared" si="8" ref="K43:V43">SUM(K39:K40)</f>
        <v>856</v>
      </c>
      <c r="L43" s="683">
        <f t="shared" si="8"/>
        <v>856</v>
      </c>
      <c r="M43" s="683">
        <f t="shared" si="8"/>
        <v>0</v>
      </c>
      <c r="N43" s="684">
        <f t="shared" si="8"/>
        <v>78.852</v>
      </c>
      <c r="O43" s="684">
        <f t="shared" si="8"/>
        <v>64.2</v>
      </c>
      <c r="P43" s="684">
        <f t="shared" si="8"/>
        <v>14.652</v>
      </c>
      <c r="Q43" s="684">
        <f t="shared" si="8"/>
        <v>0</v>
      </c>
      <c r="R43" s="684">
        <f t="shared" si="8"/>
        <v>0</v>
      </c>
      <c r="S43" s="685">
        <f t="shared" si="8"/>
        <v>145.4</v>
      </c>
      <c r="T43" s="686">
        <f t="shared" si="8"/>
        <v>145.4</v>
      </c>
      <c r="U43" s="686">
        <f t="shared" si="8"/>
        <v>0</v>
      </c>
      <c r="V43" s="686">
        <f t="shared" si="8"/>
        <v>0</v>
      </c>
    </row>
    <row r="44" ht="27" customHeight="1"/>
    <row r="45" spans="1:22" s="651" customFormat="1" ht="19.5" customHeight="1">
      <c r="A45" s="875" t="s">
        <v>105</v>
      </c>
      <c r="B45" s="875" t="s">
        <v>377</v>
      </c>
      <c r="C45" s="884" t="s">
        <v>429</v>
      </c>
      <c r="D45" s="884"/>
      <c r="E45" s="884"/>
      <c r="F45" s="884"/>
      <c r="G45" s="884"/>
      <c r="H45" s="884"/>
      <c r="I45" s="884"/>
      <c r="J45" s="884"/>
      <c r="K45" s="884"/>
      <c r="L45" s="884"/>
      <c r="M45" s="884"/>
      <c r="N45" s="884"/>
      <c r="O45" s="884"/>
      <c r="P45" s="884"/>
      <c r="Q45" s="884"/>
      <c r="R45" s="884"/>
      <c r="S45" s="884"/>
      <c r="T45" s="884"/>
      <c r="U45" s="884"/>
      <c r="V45" s="884"/>
    </row>
    <row r="46" spans="1:22" s="651" customFormat="1" ht="38.25" customHeight="1">
      <c r="A46" s="875"/>
      <c r="B46" s="875"/>
      <c r="C46" s="879" t="s">
        <v>378</v>
      </c>
      <c r="D46" s="879"/>
      <c r="E46" s="879"/>
      <c r="F46" s="879" t="s">
        <v>356</v>
      </c>
      <c r="G46" s="879"/>
      <c r="H46" s="879"/>
      <c r="I46" s="879"/>
      <c r="J46" s="879"/>
      <c r="K46" s="879" t="s">
        <v>357</v>
      </c>
      <c r="L46" s="879"/>
      <c r="M46" s="879"/>
      <c r="N46" s="879" t="s">
        <v>379</v>
      </c>
      <c r="O46" s="879"/>
      <c r="P46" s="879"/>
      <c r="Q46" s="879"/>
      <c r="R46" s="879"/>
      <c r="S46" s="879" t="s">
        <v>380</v>
      </c>
      <c r="T46" s="879"/>
      <c r="U46" s="879"/>
      <c r="V46" s="875" t="s">
        <v>381</v>
      </c>
    </row>
    <row r="47" spans="1:22" s="651" customFormat="1" ht="12" customHeight="1">
      <c r="A47" s="875"/>
      <c r="B47" s="875"/>
      <c r="C47" s="879"/>
      <c r="D47" s="879"/>
      <c r="E47" s="879"/>
      <c r="F47" s="875" t="s">
        <v>359</v>
      </c>
      <c r="G47" s="875" t="s">
        <v>360</v>
      </c>
      <c r="H47" s="875"/>
      <c r="I47" s="875"/>
      <c r="J47" s="875"/>
      <c r="K47" s="875" t="s">
        <v>359</v>
      </c>
      <c r="L47" s="875" t="s">
        <v>361</v>
      </c>
      <c r="M47" s="875"/>
      <c r="N47" s="875" t="s">
        <v>359</v>
      </c>
      <c r="O47" s="875" t="s">
        <v>360</v>
      </c>
      <c r="P47" s="875"/>
      <c r="Q47" s="875"/>
      <c r="R47" s="875"/>
      <c r="S47" s="875" t="s">
        <v>359</v>
      </c>
      <c r="T47" s="875" t="s">
        <v>361</v>
      </c>
      <c r="U47" s="875"/>
      <c r="V47" s="875"/>
    </row>
    <row r="48" spans="1:22" s="651" customFormat="1" ht="23.25" customHeight="1">
      <c r="A48" s="875"/>
      <c r="B48" s="875"/>
      <c r="C48" s="875" t="s">
        <v>392</v>
      </c>
      <c r="D48" s="876" t="s">
        <v>360</v>
      </c>
      <c r="E48" s="876"/>
      <c r="F48" s="875"/>
      <c r="G48" s="875" t="s">
        <v>362</v>
      </c>
      <c r="H48" s="875"/>
      <c r="I48" s="875" t="s">
        <v>363</v>
      </c>
      <c r="J48" s="875"/>
      <c r="K48" s="875"/>
      <c r="L48" s="876" t="s">
        <v>362</v>
      </c>
      <c r="M48" s="876" t="s">
        <v>363</v>
      </c>
      <c r="N48" s="875"/>
      <c r="O48" s="875" t="s">
        <v>362</v>
      </c>
      <c r="P48" s="875"/>
      <c r="Q48" s="875" t="s">
        <v>363</v>
      </c>
      <c r="R48" s="875"/>
      <c r="S48" s="875"/>
      <c r="T48" s="876" t="s">
        <v>362</v>
      </c>
      <c r="U48" s="876" t="s">
        <v>363</v>
      </c>
      <c r="V48" s="875"/>
    </row>
    <row r="49" spans="1:22" s="651" customFormat="1" ht="47.25" customHeight="1">
      <c r="A49" s="875"/>
      <c r="B49" s="875"/>
      <c r="C49" s="875"/>
      <c r="D49" s="427" t="s">
        <v>384</v>
      </c>
      <c r="E49" s="427" t="s">
        <v>385</v>
      </c>
      <c r="F49" s="875"/>
      <c r="G49" s="427" t="s">
        <v>364</v>
      </c>
      <c r="H49" s="427" t="s">
        <v>365</v>
      </c>
      <c r="I49" s="427" t="s">
        <v>364</v>
      </c>
      <c r="J49" s="427" t="s">
        <v>365</v>
      </c>
      <c r="K49" s="875"/>
      <c r="L49" s="876"/>
      <c r="M49" s="876"/>
      <c r="N49" s="875"/>
      <c r="O49" s="427" t="s">
        <v>364</v>
      </c>
      <c r="P49" s="427" t="s">
        <v>365</v>
      </c>
      <c r="Q49" s="427" t="s">
        <v>364</v>
      </c>
      <c r="R49" s="427" t="s">
        <v>365</v>
      </c>
      <c r="S49" s="875"/>
      <c r="T49" s="876"/>
      <c r="U49" s="876"/>
      <c r="V49" s="875"/>
    </row>
    <row r="50" spans="1:22" s="654" customFormat="1" ht="10.5" customHeight="1">
      <c r="A50" s="652"/>
      <c r="B50" s="653">
        <v>1</v>
      </c>
      <c r="C50" s="653">
        <f aca="true" t="shared" si="9" ref="C50:V50">B50+1</f>
        <v>2</v>
      </c>
      <c r="D50" s="653">
        <f t="shared" si="9"/>
        <v>3</v>
      </c>
      <c r="E50" s="653">
        <f t="shared" si="9"/>
        <v>4</v>
      </c>
      <c r="F50" s="653">
        <f t="shared" si="9"/>
        <v>5</v>
      </c>
      <c r="G50" s="653">
        <f t="shared" si="9"/>
        <v>6</v>
      </c>
      <c r="H50" s="653">
        <f t="shared" si="9"/>
        <v>7</v>
      </c>
      <c r="I50" s="653">
        <f t="shared" si="9"/>
        <v>8</v>
      </c>
      <c r="J50" s="653">
        <f t="shared" si="9"/>
        <v>9</v>
      </c>
      <c r="K50" s="653">
        <f t="shared" si="9"/>
        <v>10</v>
      </c>
      <c r="L50" s="653">
        <f t="shared" si="9"/>
        <v>11</v>
      </c>
      <c r="M50" s="653">
        <f t="shared" si="9"/>
        <v>12</v>
      </c>
      <c r="N50" s="653">
        <f t="shared" si="9"/>
        <v>13</v>
      </c>
      <c r="O50" s="653">
        <f t="shared" si="9"/>
        <v>14</v>
      </c>
      <c r="P50" s="653">
        <f t="shared" si="9"/>
        <v>15</v>
      </c>
      <c r="Q50" s="653">
        <f t="shared" si="9"/>
        <v>16</v>
      </c>
      <c r="R50" s="653">
        <f t="shared" si="9"/>
        <v>17</v>
      </c>
      <c r="S50" s="653">
        <f t="shared" si="9"/>
        <v>18</v>
      </c>
      <c r="T50" s="653">
        <f t="shared" si="9"/>
        <v>19</v>
      </c>
      <c r="U50" s="653">
        <f t="shared" si="9"/>
        <v>20</v>
      </c>
      <c r="V50" s="653">
        <f t="shared" si="9"/>
        <v>21</v>
      </c>
    </row>
    <row r="51" spans="1:22" s="689" customFormat="1" ht="36">
      <c r="A51" s="424" t="s">
        <v>310</v>
      </c>
      <c r="B51" s="655" t="s">
        <v>388</v>
      </c>
      <c r="C51" s="656" t="e">
        <f>ROUND(S51/N51,4)</f>
        <v>#DIV/0!</v>
      </c>
      <c r="D51" s="657"/>
      <c r="E51" s="657"/>
      <c r="F51" s="687"/>
      <c r="G51" s="688"/>
      <c r="H51" s="688">
        <f>F51-G51</f>
        <v>0</v>
      </c>
      <c r="I51" s="688"/>
      <c r="J51" s="688">
        <f>F51-I51</f>
        <v>0</v>
      </c>
      <c r="K51" s="656"/>
      <c r="L51" s="656"/>
      <c r="M51" s="656">
        <f>K51-L51</f>
        <v>0</v>
      </c>
      <c r="N51" s="660">
        <f>O51+P51+Q51+R51</f>
        <v>0</v>
      </c>
      <c r="O51" s="661">
        <f>ROUND(G51*L51*6/1000,4)</f>
        <v>0</v>
      </c>
      <c r="P51" s="661">
        <f>ROUND(H51*L51*6/1000,4)</f>
        <v>0</v>
      </c>
      <c r="Q51" s="661">
        <f>ROUND(I51*M51*6/1000,4)</f>
        <v>0</v>
      </c>
      <c r="R51" s="661">
        <f>ROUND(J51*M51*6/1000,4)</f>
        <v>0</v>
      </c>
      <c r="S51" s="662">
        <f>T51+U51</f>
        <v>0</v>
      </c>
      <c r="T51" s="662">
        <f>ROUND(D51*O51+E51*P51,1)</f>
        <v>0</v>
      </c>
      <c r="U51" s="662">
        <f>ROUND(D51*Q51+E51*R51,1)</f>
        <v>0</v>
      </c>
      <c r="V51" s="663"/>
    </row>
    <row r="52" spans="1:22" s="689" customFormat="1" ht="48">
      <c r="A52" s="424" t="s">
        <v>318</v>
      </c>
      <c r="B52" s="655" t="s">
        <v>389</v>
      </c>
      <c r="C52" s="656">
        <f>ROUND(S52/N52,4)</f>
        <v>1.844</v>
      </c>
      <c r="D52" s="657"/>
      <c r="E52" s="657"/>
      <c r="F52" s="690">
        <f>ROUND(N52/K52/1*1000,1)</f>
        <v>92.1</v>
      </c>
      <c r="G52" s="688"/>
      <c r="H52" s="688">
        <f>F52-G52</f>
        <v>92.1</v>
      </c>
      <c r="I52" s="688"/>
      <c r="J52" s="688">
        <f>F52-I52</f>
        <v>92.1</v>
      </c>
      <c r="K52" s="665">
        <f>K53+K54</f>
        <v>856</v>
      </c>
      <c r="L52" s="665">
        <f>L53+L54</f>
        <v>856</v>
      </c>
      <c r="M52" s="656">
        <f>K52-L52</f>
        <v>0</v>
      </c>
      <c r="N52" s="660">
        <f aca="true" t="shared" si="10" ref="N52:V52">N53+N54</f>
        <v>78.852</v>
      </c>
      <c r="O52" s="660">
        <f t="shared" si="10"/>
        <v>64.2</v>
      </c>
      <c r="P52" s="660">
        <f t="shared" si="10"/>
        <v>14.652</v>
      </c>
      <c r="Q52" s="660">
        <f t="shared" si="10"/>
        <v>0</v>
      </c>
      <c r="R52" s="660">
        <f t="shared" si="10"/>
        <v>0</v>
      </c>
      <c r="S52" s="662">
        <f t="shared" si="10"/>
        <v>145.4</v>
      </c>
      <c r="T52" s="662">
        <f t="shared" si="10"/>
        <v>145.4</v>
      </c>
      <c r="U52" s="662">
        <f t="shared" si="10"/>
        <v>0</v>
      </c>
      <c r="V52" s="662">
        <f t="shared" si="10"/>
        <v>0</v>
      </c>
    </row>
    <row r="53" spans="1:22" s="693" customFormat="1" ht="24">
      <c r="A53" s="666" t="s">
        <v>50</v>
      </c>
      <c r="B53" s="667" t="s">
        <v>390</v>
      </c>
      <c r="C53" s="668">
        <f>ROUND(S53/N53,4)</f>
        <v>1.844</v>
      </c>
      <c r="D53" s="657">
        <v>1.66</v>
      </c>
      <c r="E53" s="657">
        <v>2.65</v>
      </c>
      <c r="F53" s="691">
        <f>'Эл.7-1 1 пол.'!C71</f>
        <v>92.11682243</v>
      </c>
      <c r="G53" s="691">
        <v>75</v>
      </c>
      <c r="H53" s="692">
        <f>F53-G53</f>
        <v>17.11682243</v>
      </c>
      <c r="I53" s="692">
        <f>F53</f>
        <v>92.11682243</v>
      </c>
      <c r="J53" s="692">
        <f>F53-I53</f>
        <v>0</v>
      </c>
      <c r="K53" s="668">
        <v>856</v>
      </c>
      <c r="L53" s="668">
        <v>856</v>
      </c>
      <c r="M53" s="668">
        <f>K53-L53</f>
        <v>0</v>
      </c>
      <c r="N53" s="671">
        <f>O53+P53+Q53+R53</f>
        <v>78.852</v>
      </c>
      <c r="O53" s="672">
        <f>ROUND(G53*L53*1/1000,4)</f>
        <v>64.2</v>
      </c>
      <c r="P53" s="672">
        <f>ROUND(H53*L53*1/1000,4)</f>
        <v>14.652</v>
      </c>
      <c r="Q53" s="672">
        <f>ROUND(I53*M53*6/1000,4)</f>
        <v>0</v>
      </c>
      <c r="R53" s="672">
        <f>ROUND(J53*M53*6/1000,4)</f>
        <v>0</v>
      </c>
      <c r="S53" s="673">
        <f>T53+U53</f>
        <v>145.4</v>
      </c>
      <c r="T53" s="673">
        <f>ROUND(D53*O53+E53*P53,1)</f>
        <v>145.4</v>
      </c>
      <c r="U53" s="673">
        <f>ROUND(D53*Q53+E53*R53,1)</f>
        <v>0</v>
      </c>
      <c r="V53" s="674"/>
    </row>
    <row r="54" spans="1:22" s="694" customFormat="1" ht="39.75" customHeight="1">
      <c r="A54" s="676" t="s">
        <v>52</v>
      </c>
      <c r="B54" s="667" t="s">
        <v>391</v>
      </c>
      <c r="C54" s="668" t="e">
        <f>ROUND(S54/N54,4)</f>
        <v>#DIV/0!</v>
      </c>
      <c r="D54" s="657"/>
      <c r="E54" s="657"/>
      <c r="F54" s="692"/>
      <c r="G54" s="692"/>
      <c r="H54" s="692">
        <f>F54-G54</f>
        <v>0</v>
      </c>
      <c r="I54" s="692"/>
      <c r="J54" s="692">
        <f>F54-I54</f>
        <v>0</v>
      </c>
      <c r="K54" s="668"/>
      <c r="L54" s="668"/>
      <c r="M54" s="668">
        <f>K54-L54</f>
        <v>0</v>
      </c>
      <c r="N54" s="671">
        <f>O54+P54+Q54+R54</f>
        <v>0</v>
      </c>
      <c r="O54" s="672">
        <f>ROUND(G54*L54*6/1000,4)</f>
        <v>0</v>
      </c>
      <c r="P54" s="672">
        <f>ROUND(H54*L54*6/1000,4)</f>
        <v>0</v>
      </c>
      <c r="Q54" s="672">
        <f>ROUND(I54*M54*6/1000,4)</f>
        <v>0</v>
      </c>
      <c r="R54" s="672">
        <f>ROUND(J54*M54*6/1000,4)</f>
        <v>0</v>
      </c>
      <c r="S54" s="673">
        <f>T54+U54</f>
        <v>0</v>
      </c>
      <c r="T54" s="673">
        <f>ROUND(D54*O54+E54*P54,1)</f>
        <v>0</v>
      </c>
      <c r="U54" s="673">
        <f>ROUND(D54*Q54+E54*R54,1)</f>
        <v>0</v>
      </c>
      <c r="V54" s="677"/>
    </row>
    <row r="55" spans="1:22" s="705" customFormat="1" ht="27" customHeight="1">
      <c r="A55" s="882" t="s">
        <v>86</v>
      </c>
      <c r="B55" s="882"/>
      <c r="C55" s="696">
        <f>ROUND(S55/N55,4)</f>
        <v>1.844</v>
      </c>
      <c r="D55" s="697"/>
      <c r="E55" s="698"/>
      <c r="F55" s="699">
        <f>ROUND(N55/K55/1*1000,1)</f>
        <v>92.1</v>
      </c>
      <c r="G55" s="700">
        <f>ROUND(O55/L55/1*1000,1)</f>
        <v>75</v>
      </c>
      <c r="H55" s="700">
        <f>ROUND(P55/L55/1*1000,1)</f>
        <v>17.1</v>
      </c>
      <c r="I55" s="700" t="e">
        <f>ROUND(Q55/M55/6*1000,1)</f>
        <v>#DIV/0!</v>
      </c>
      <c r="J55" s="700" t="e">
        <f>ROUND(R55/M55/6*1000,1)</f>
        <v>#DIV/0!</v>
      </c>
      <c r="K55" s="701">
        <f aca="true" t="shared" si="11" ref="K55:V55">SUM(K51:K52)</f>
        <v>856</v>
      </c>
      <c r="L55" s="701">
        <f t="shared" si="11"/>
        <v>856</v>
      </c>
      <c r="M55" s="701">
        <f t="shared" si="11"/>
        <v>0</v>
      </c>
      <c r="N55" s="702">
        <f t="shared" si="11"/>
        <v>78.852</v>
      </c>
      <c r="O55" s="702">
        <f t="shared" si="11"/>
        <v>64.2</v>
      </c>
      <c r="P55" s="702">
        <f t="shared" si="11"/>
        <v>14.652</v>
      </c>
      <c r="Q55" s="702">
        <f t="shared" si="11"/>
        <v>0</v>
      </c>
      <c r="R55" s="702">
        <f t="shared" si="11"/>
        <v>0</v>
      </c>
      <c r="S55" s="703">
        <f t="shared" si="11"/>
        <v>145.4</v>
      </c>
      <c r="T55" s="704">
        <f t="shared" si="11"/>
        <v>145.4</v>
      </c>
      <c r="U55" s="704">
        <f t="shared" si="11"/>
        <v>0</v>
      </c>
      <c r="V55" s="704">
        <f t="shared" si="11"/>
        <v>0</v>
      </c>
    </row>
    <row r="56" spans="1:15" s="208" customFormat="1" ht="15.75" customHeight="1">
      <c r="A56" s="274"/>
      <c r="B56" s="883" t="s">
        <v>157</v>
      </c>
      <c r="C56" s="883"/>
      <c r="D56" s="274"/>
      <c r="E56" s="274"/>
      <c r="F56" s="221"/>
      <c r="G56" s="222"/>
      <c r="H56" s="222"/>
      <c r="I56" s="222"/>
      <c r="J56" s="222"/>
      <c r="K56" s="222"/>
      <c r="L56" s="222"/>
      <c r="M56" s="274"/>
      <c r="N56" s="274"/>
      <c r="O56" s="274"/>
    </row>
    <row r="57" spans="1:15" s="208" customFormat="1" ht="15.75">
      <c r="A57" s="274"/>
      <c r="B57" s="394" t="s">
        <v>128</v>
      </c>
      <c r="C57" s="394"/>
      <c r="D57" s="274"/>
      <c r="E57" s="274"/>
      <c r="F57" s="221"/>
      <c r="G57" s="222"/>
      <c r="H57" s="222"/>
      <c r="I57" s="222"/>
      <c r="J57" s="222"/>
      <c r="K57" s="222"/>
      <c r="L57" s="222"/>
      <c r="M57" s="274"/>
      <c r="N57" s="274"/>
      <c r="O57" s="274"/>
    </row>
    <row r="58" spans="1:22" s="651" customFormat="1" ht="12.75" customHeight="1">
      <c r="A58" s="875" t="s">
        <v>105</v>
      </c>
      <c r="B58" s="875" t="s">
        <v>377</v>
      </c>
      <c r="C58" s="881" t="s">
        <v>394</v>
      </c>
      <c r="D58" s="881"/>
      <c r="E58" s="881"/>
      <c r="F58" s="881"/>
      <c r="G58" s="881"/>
      <c r="H58" s="881"/>
      <c r="I58" s="881"/>
      <c r="J58" s="881"/>
      <c r="K58" s="881"/>
      <c r="L58" s="881"/>
      <c r="M58" s="881"/>
      <c r="N58" s="881"/>
      <c r="O58" s="881"/>
      <c r="P58" s="881"/>
      <c r="Q58" s="881"/>
      <c r="R58" s="881"/>
      <c r="S58" s="881"/>
      <c r="T58" s="881"/>
      <c r="U58" s="881"/>
      <c r="V58" s="881"/>
    </row>
    <row r="59" spans="1:22" s="651" customFormat="1" ht="41.25" customHeight="1">
      <c r="A59" s="875"/>
      <c r="B59" s="875"/>
      <c r="C59" s="879" t="s">
        <v>378</v>
      </c>
      <c r="D59" s="879"/>
      <c r="E59" s="879"/>
      <c r="F59" s="879" t="s">
        <v>356</v>
      </c>
      <c r="G59" s="879"/>
      <c r="H59" s="879"/>
      <c r="I59" s="879"/>
      <c r="J59" s="879"/>
      <c r="K59" s="879" t="s">
        <v>357</v>
      </c>
      <c r="L59" s="879"/>
      <c r="M59" s="879"/>
      <c r="N59" s="879" t="s">
        <v>379</v>
      </c>
      <c r="O59" s="879"/>
      <c r="P59" s="879"/>
      <c r="Q59" s="879"/>
      <c r="R59" s="879"/>
      <c r="S59" s="879" t="s">
        <v>380</v>
      </c>
      <c r="T59" s="879"/>
      <c r="U59" s="879"/>
      <c r="V59" s="875" t="s">
        <v>381</v>
      </c>
    </row>
    <row r="60" spans="1:22" s="651" customFormat="1" ht="12" customHeight="1">
      <c r="A60" s="875"/>
      <c r="B60" s="875"/>
      <c r="C60" s="879"/>
      <c r="D60" s="879"/>
      <c r="E60" s="879"/>
      <c r="F60" s="875" t="s">
        <v>359</v>
      </c>
      <c r="G60" s="875" t="s">
        <v>360</v>
      </c>
      <c r="H60" s="875"/>
      <c r="I60" s="875"/>
      <c r="J60" s="875"/>
      <c r="K60" s="875" t="s">
        <v>359</v>
      </c>
      <c r="L60" s="875" t="s">
        <v>361</v>
      </c>
      <c r="M60" s="875"/>
      <c r="N60" s="875" t="s">
        <v>382</v>
      </c>
      <c r="O60" s="875" t="s">
        <v>360</v>
      </c>
      <c r="P60" s="875"/>
      <c r="Q60" s="875"/>
      <c r="R60" s="875"/>
      <c r="S60" s="875" t="s">
        <v>359</v>
      </c>
      <c r="T60" s="875" t="s">
        <v>361</v>
      </c>
      <c r="U60" s="875"/>
      <c r="V60" s="875"/>
    </row>
    <row r="61" spans="1:22" s="651" customFormat="1" ht="23.25" customHeight="1">
      <c r="A61" s="875"/>
      <c r="B61" s="875"/>
      <c r="C61" s="875" t="s">
        <v>383</v>
      </c>
      <c r="D61" s="876" t="s">
        <v>360</v>
      </c>
      <c r="E61" s="876"/>
      <c r="F61" s="875"/>
      <c r="G61" s="875" t="s">
        <v>362</v>
      </c>
      <c r="H61" s="875"/>
      <c r="I61" s="875" t="s">
        <v>363</v>
      </c>
      <c r="J61" s="875"/>
      <c r="K61" s="875"/>
      <c r="L61" s="876" t="s">
        <v>362</v>
      </c>
      <c r="M61" s="876" t="s">
        <v>363</v>
      </c>
      <c r="N61" s="875"/>
      <c r="O61" s="875" t="s">
        <v>362</v>
      </c>
      <c r="P61" s="875"/>
      <c r="Q61" s="875" t="s">
        <v>363</v>
      </c>
      <c r="R61" s="875"/>
      <c r="S61" s="875"/>
      <c r="T61" s="876" t="s">
        <v>362</v>
      </c>
      <c r="U61" s="876" t="s">
        <v>363</v>
      </c>
      <c r="V61" s="875"/>
    </row>
    <row r="62" spans="1:22" s="651" customFormat="1" ht="52.5" customHeight="1">
      <c r="A62" s="875"/>
      <c r="B62" s="875"/>
      <c r="C62" s="875"/>
      <c r="D62" s="427" t="s">
        <v>384</v>
      </c>
      <c r="E62" s="427" t="s">
        <v>385</v>
      </c>
      <c r="F62" s="875"/>
      <c r="G62" s="427" t="s">
        <v>364</v>
      </c>
      <c r="H62" s="427" t="s">
        <v>365</v>
      </c>
      <c r="I62" s="427" t="s">
        <v>364</v>
      </c>
      <c r="J62" s="427" t="s">
        <v>365</v>
      </c>
      <c r="K62" s="875"/>
      <c r="L62" s="876"/>
      <c r="M62" s="876"/>
      <c r="N62" s="875"/>
      <c r="O62" s="427" t="s">
        <v>386</v>
      </c>
      <c r="P62" s="427" t="s">
        <v>387</v>
      </c>
      <c r="Q62" s="427" t="s">
        <v>386</v>
      </c>
      <c r="R62" s="427" t="s">
        <v>387</v>
      </c>
      <c r="S62" s="875"/>
      <c r="T62" s="876"/>
      <c r="U62" s="876"/>
      <c r="V62" s="875"/>
    </row>
    <row r="63" spans="1:22" s="654" customFormat="1" ht="10.5" customHeight="1">
      <c r="A63" s="652"/>
      <c r="B63" s="653">
        <v>1</v>
      </c>
      <c r="C63" s="653">
        <f aca="true" t="shared" si="12" ref="C63:V63">B63+1</f>
        <v>2</v>
      </c>
      <c r="D63" s="653">
        <f t="shared" si="12"/>
        <v>3</v>
      </c>
      <c r="E63" s="653">
        <f t="shared" si="12"/>
        <v>4</v>
      </c>
      <c r="F63" s="653">
        <f t="shared" si="12"/>
        <v>5</v>
      </c>
      <c r="G63" s="653">
        <f t="shared" si="12"/>
        <v>6</v>
      </c>
      <c r="H63" s="653">
        <f t="shared" si="12"/>
        <v>7</v>
      </c>
      <c r="I63" s="653">
        <f t="shared" si="12"/>
        <v>8</v>
      </c>
      <c r="J63" s="653">
        <f t="shared" si="12"/>
        <v>9</v>
      </c>
      <c r="K63" s="653">
        <f t="shared" si="12"/>
        <v>10</v>
      </c>
      <c r="L63" s="653">
        <f t="shared" si="12"/>
        <v>11</v>
      </c>
      <c r="M63" s="653">
        <f t="shared" si="12"/>
        <v>12</v>
      </c>
      <c r="N63" s="653">
        <f t="shared" si="12"/>
        <v>13</v>
      </c>
      <c r="O63" s="653">
        <f t="shared" si="12"/>
        <v>14</v>
      </c>
      <c r="P63" s="653">
        <f t="shared" si="12"/>
        <v>15</v>
      </c>
      <c r="Q63" s="653">
        <f t="shared" si="12"/>
        <v>16</v>
      </c>
      <c r="R63" s="653">
        <f t="shared" si="12"/>
        <v>17</v>
      </c>
      <c r="S63" s="653">
        <f t="shared" si="12"/>
        <v>18</v>
      </c>
      <c r="T63" s="653">
        <f t="shared" si="12"/>
        <v>19</v>
      </c>
      <c r="U63" s="653">
        <f t="shared" si="12"/>
        <v>20</v>
      </c>
      <c r="V63" s="653">
        <f t="shared" si="12"/>
        <v>21</v>
      </c>
    </row>
    <row r="64" spans="1:22" s="494" customFormat="1" ht="36">
      <c r="A64" s="424" t="s">
        <v>310</v>
      </c>
      <c r="B64" s="655" t="s">
        <v>388</v>
      </c>
      <c r="C64" s="656" t="e">
        <f>ROUND(S64/N64,4)</f>
        <v>#DIV/0!</v>
      </c>
      <c r="D64" s="657"/>
      <c r="E64" s="657"/>
      <c r="F64" s="658"/>
      <c r="G64" s="659"/>
      <c r="H64" s="659">
        <f>F64-G64</f>
        <v>0</v>
      </c>
      <c r="I64" s="659"/>
      <c r="J64" s="659">
        <f>F64-I64</f>
        <v>0</v>
      </c>
      <c r="K64" s="656"/>
      <c r="L64" s="656"/>
      <c r="M64" s="656">
        <f>K64-L64</f>
        <v>0</v>
      </c>
      <c r="N64" s="660">
        <f>O64+P64+Q64+R64</f>
        <v>0</v>
      </c>
      <c r="O64" s="661">
        <f>ROUND(G64*L64*2/1000,4)</f>
        <v>0</v>
      </c>
      <c r="P64" s="661">
        <f>ROUND(H64*L64*2/1000,4)</f>
        <v>0</v>
      </c>
      <c r="Q64" s="661">
        <f>ROUND(I64*M64*2/1000,4)</f>
        <v>0</v>
      </c>
      <c r="R64" s="661">
        <f>ROUND(J64*M64*2/1000,4)</f>
        <v>0</v>
      </c>
      <c r="S64" s="662">
        <f>T64+U64</f>
        <v>0</v>
      </c>
      <c r="T64" s="662">
        <f>ROUND(D64*O64+E64*P64,1)</f>
        <v>0</v>
      </c>
      <c r="U64" s="662">
        <f>ROUND(D64*Q64+E64*R64,1)</f>
        <v>0</v>
      </c>
      <c r="V64" s="663"/>
    </row>
    <row r="65" spans="1:22" s="494" customFormat="1" ht="56.25" customHeight="1">
      <c r="A65" s="424" t="s">
        <v>318</v>
      </c>
      <c r="B65" s="655" t="s">
        <v>389</v>
      </c>
      <c r="C65" s="656">
        <f>ROUND(S65/N65,4)</f>
        <v>1.8443</v>
      </c>
      <c r="D65" s="657"/>
      <c r="E65" s="657"/>
      <c r="F65" s="664">
        <f>ROUND(N65/K65/2*1000,1)</f>
        <v>95.2</v>
      </c>
      <c r="G65" s="659"/>
      <c r="H65" s="662">
        <f>F65-G65</f>
        <v>95.2</v>
      </c>
      <c r="I65" s="656"/>
      <c r="J65" s="662">
        <f>F65-I65</f>
        <v>95.2</v>
      </c>
      <c r="K65" s="812">
        <v>856</v>
      </c>
      <c r="L65" s="812">
        <v>856</v>
      </c>
      <c r="M65" s="656">
        <f>K65-L65</f>
        <v>0</v>
      </c>
      <c r="N65" s="660">
        <f aca="true" t="shared" si="13" ref="N65:V65">N66+N67</f>
        <v>163.0468</v>
      </c>
      <c r="O65" s="660">
        <f t="shared" si="13"/>
        <v>132.75</v>
      </c>
      <c r="P65" s="660">
        <f t="shared" si="13"/>
        <v>30.2968</v>
      </c>
      <c r="Q65" s="660">
        <f t="shared" si="13"/>
        <v>0</v>
      </c>
      <c r="R65" s="660">
        <f t="shared" si="13"/>
        <v>0</v>
      </c>
      <c r="S65" s="662">
        <f t="shared" si="13"/>
        <v>300.7</v>
      </c>
      <c r="T65" s="662">
        <f t="shared" si="13"/>
        <v>300.7</v>
      </c>
      <c r="U65" s="662">
        <f t="shared" si="13"/>
        <v>0</v>
      </c>
      <c r="V65" s="662">
        <f t="shared" si="13"/>
        <v>0</v>
      </c>
    </row>
    <row r="66" spans="1:22" s="675" customFormat="1" ht="24">
      <c r="A66" s="666" t="s">
        <v>50</v>
      </c>
      <c r="B66" s="667" t="s">
        <v>390</v>
      </c>
      <c r="C66" s="668">
        <f>ROUND(S66/N66,4)</f>
        <v>1.8443</v>
      </c>
      <c r="D66" s="657">
        <v>1.66</v>
      </c>
      <c r="E66" s="657">
        <v>2.65</v>
      </c>
      <c r="F66" s="669">
        <f>'Эл.7-1 2 пол.'!C71</f>
        <v>92.11682243</v>
      </c>
      <c r="G66" s="669">
        <v>75</v>
      </c>
      <c r="H66" s="670">
        <f>F66-G66</f>
        <v>17.11682243</v>
      </c>
      <c r="I66" s="670">
        <f>F66</f>
        <v>92.11682243</v>
      </c>
      <c r="J66" s="670">
        <f>F66-I66</f>
        <v>0</v>
      </c>
      <c r="K66" s="813">
        <v>885</v>
      </c>
      <c r="L66" s="813">
        <v>885</v>
      </c>
      <c r="M66" s="668">
        <f>K66-L66</f>
        <v>0</v>
      </c>
      <c r="N66" s="671">
        <f>O66+P66+Q66+R66</f>
        <v>163.0468</v>
      </c>
      <c r="O66" s="672">
        <f>ROUND(G66*L66*2/1000,4)</f>
        <v>132.75</v>
      </c>
      <c r="P66" s="672">
        <f>ROUND(H66*L66*2/1000,4)</f>
        <v>30.2968</v>
      </c>
      <c r="Q66" s="672">
        <f>ROUND(I66*M66*2/1000,4)</f>
        <v>0</v>
      </c>
      <c r="R66" s="672">
        <f>ROUND(J66*M66*2/1000,4)</f>
        <v>0</v>
      </c>
      <c r="S66" s="673">
        <f>T66+U66</f>
        <v>300.7</v>
      </c>
      <c r="T66" s="673">
        <f>ROUND(D66*O66+E66*P66,1)</f>
        <v>300.7</v>
      </c>
      <c r="U66" s="673">
        <f>ROUND(D66*Q66+E66*R66,1)</f>
        <v>0</v>
      </c>
      <c r="V66" s="674"/>
    </row>
    <row r="67" spans="1:22" s="675" customFormat="1" ht="24">
      <c r="A67" s="676" t="s">
        <v>52</v>
      </c>
      <c r="B67" s="667" t="s">
        <v>391</v>
      </c>
      <c r="C67" s="668" t="e">
        <f>ROUND(S67/N67,4)</f>
        <v>#DIV/0!</v>
      </c>
      <c r="D67" s="657"/>
      <c r="E67" s="657"/>
      <c r="F67" s="673"/>
      <c r="G67" s="673"/>
      <c r="H67" s="673">
        <f>F67-G67</f>
        <v>0</v>
      </c>
      <c r="I67" s="673"/>
      <c r="J67" s="673">
        <f>F67-I67</f>
        <v>0</v>
      </c>
      <c r="K67" s="668"/>
      <c r="L67" s="668"/>
      <c r="M67" s="668">
        <f>K67-L67</f>
        <v>0</v>
      </c>
      <c r="N67" s="671">
        <f>O67+P67+Q67+R67</f>
        <v>0</v>
      </c>
      <c r="O67" s="672">
        <f>ROUND(G67*L67*2/1000,4)</f>
        <v>0</v>
      </c>
      <c r="P67" s="672">
        <f>ROUND(H67*L67*2/1000,4)</f>
        <v>0</v>
      </c>
      <c r="Q67" s="672">
        <f>ROUND(I67*M67*2/1000,4)</f>
        <v>0</v>
      </c>
      <c r="R67" s="672">
        <f>ROUND(J67*M67*2/1000,4)</f>
        <v>0</v>
      </c>
      <c r="S67" s="673">
        <f>T67+U67</f>
        <v>0</v>
      </c>
      <c r="T67" s="673">
        <f>ROUND(D67*O67+E67*P67,1)</f>
        <v>0</v>
      </c>
      <c r="U67" s="673">
        <f>ROUND(D67*Q67+E67*R67,1)</f>
        <v>0</v>
      </c>
      <c r="V67" s="677"/>
    </row>
    <row r="68" spans="1:22" s="494" customFormat="1" ht="29.25" customHeight="1">
      <c r="A68" s="880" t="s">
        <v>246</v>
      </c>
      <c r="B68" s="880"/>
      <c r="C68" s="678">
        <f>ROUND(S68/N68,6)</f>
        <v>1.844256</v>
      </c>
      <c r="D68" s="679"/>
      <c r="E68" s="680"/>
      <c r="F68" s="681">
        <f>ROUND(N68/K68/2*1000,1)</f>
        <v>95.2</v>
      </c>
      <c r="G68" s="682">
        <f>ROUND(O68/L68/2*1000,1)</f>
        <v>77.5</v>
      </c>
      <c r="H68" s="682">
        <f>ROUND(P68/L68/2*1000,1)</f>
        <v>17.7</v>
      </c>
      <c r="I68" s="682" t="e">
        <f>ROUND(Q68/M68/6*1000,1)</f>
        <v>#DIV/0!</v>
      </c>
      <c r="J68" s="682" t="e">
        <f>ROUND(R68/M68/6*1000,1)</f>
        <v>#DIV/0!</v>
      </c>
      <c r="K68" s="683">
        <f aca="true" t="shared" si="14" ref="K68:V68">SUM(K64:K65)</f>
        <v>856</v>
      </c>
      <c r="L68" s="683">
        <f t="shared" si="14"/>
        <v>856</v>
      </c>
      <c r="M68" s="683">
        <f t="shared" si="14"/>
        <v>0</v>
      </c>
      <c r="N68" s="684">
        <f t="shared" si="14"/>
        <v>163.0468</v>
      </c>
      <c r="O68" s="684">
        <f t="shared" si="14"/>
        <v>132.75</v>
      </c>
      <c r="P68" s="684">
        <f t="shared" si="14"/>
        <v>30.2968</v>
      </c>
      <c r="Q68" s="684">
        <f t="shared" si="14"/>
        <v>0</v>
      </c>
      <c r="R68" s="684">
        <f t="shared" si="14"/>
        <v>0</v>
      </c>
      <c r="S68" s="685">
        <f t="shared" si="14"/>
        <v>300.7</v>
      </c>
      <c r="T68" s="686">
        <f t="shared" si="14"/>
        <v>300.7</v>
      </c>
      <c r="U68" s="686">
        <f t="shared" si="14"/>
        <v>0</v>
      </c>
      <c r="V68" s="686">
        <f t="shared" si="14"/>
        <v>0</v>
      </c>
    </row>
    <row r="69" ht="27" customHeight="1"/>
    <row r="70" spans="1:22" s="651" customFormat="1" ht="19.5" customHeight="1">
      <c r="A70" s="875" t="s">
        <v>105</v>
      </c>
      <c r="B70" s="875" t="s">
        <v>377</v>
      </c>
      <c r="C70" s="878" t="s">
        <v>430</v>
      </c>
      <c r="D70" s="878"/>
      <c r="E70" s="878"/>
      <c r="F70" s="878"/>
      <c r="G70" s="878"/>
      <c r="H70" s="878"/>
      <c r="I70" s="878"/>
      <c r="J70" s="878"/>
      <c r="K70" s="878"/>
      <c r="L70" s="878"/>
      <c r="M70" s="878"/>
      <c r="N70" s="878"/>
      <c r="O70" s="878"/>
      <c r="P70" s="878"/>
      <c r="Q70" s="878"/>
      <c r="R70" s="878"/>
      <c r="S70" s="878"/>
      <c r="T70" s="878"/>
      <c r="U70" s="878"/>
      <c r="V70" s="878"/>
    </row>
    <row r="71" spans="1:22" s="651" customFormat="1" ht="38.25" customHeight="1">
      <c r="A71" s="875"/>
      <c r="B71" s="875"/>
      <c r="C71" s="879" t="s">
        <v>378</v>
      </c>
      <c r="D71" s="879"/>
      <c r="E71" s="879"/>
      <c r="F71" s="879" t="s">
        <v>356</v>
      </c>
      <c r="G71" s="879"/>
      <c r="H71" s="879"/>
      <c r="I71" s="879"/>
      <c r="J71" s="879"/>
      <c r="K71" s="879" t="s">
        <v>357</v>
      </c>
      <c r="L71" s="879"/>
      <c r="M71" s="879"/>
      <c r="N71" s="879" t="s">
        <v>379</v>
      </c>
      <c r="O71" s="879"/>
      <c r="P71" s="879"/>
      <c r="Q71" s="879"/>
      <c r="R71" s="879"/>
      <c r="S71" s="879" t="s">
        <v>380</v>
      </c>
      <c r="T71" s="879"/>
      <c r="U71" s="879"/>
      <c r="V71" s="875" t="s">
        <v>381</v>
      </c>
    </row>
    <row r="72" spans="1:22" s="651" customFormat="1" ht="12" customHeight="1">
      <c r="A72" s="875"/>
      <c r="B72" s="875"/>
      <c r="C72" s="879"/>
      <c r="D72" s="879"/>
      <c r="E72" s="879"/>
      <c r="F72" s="875" t="s">
        <v>359</v>
      </c>
      <c r="G72" s="875" t="s">
        <v>360</v>
      </c>
      <c r="H72" s="875"/>
      <c r="I72" s="875"/>
      <c r="J72" s="875"/>
      <c r="K72" s="875" t="s">
        <v>359</v>
      </c>
      <c r="L72" s="875" t="s">
        <v>361</v>
      </c>
      <c r="M72" s="875"/>
      <c r="N72" s="875" t="s">
        <v>359</v>
      </c>
      <c r="O72" s="875" t="s">
        <v>360</v>
      </c>
      <c r="P72" s="875"/>
      <c r="Q72" s="875"/>
      <c r="R72" s="875"/>
      <c r="S72" s="875" t="s">
        <v>359</v>
      </c>
      <c r="T72" s="875" t="s">
        <v>361</v>
      </c>
      <c r="U72" s="875"/>
      <c r="V72" s="875"/>
    </row>
    <row r="73" spans="1:22" s="651" customFormat="1" ht="23.25" customHeight="1">
      <c r="A73" s="875"/>
      <c r="B73" s="875"/>
      <c r="C73" s="875" t="s">
        <v>392</v>
      </c>
      <c r="D73" s="876" t="s">
        <v>360</v>
      </c>
      <c r="E73" s="876"/>
      <c r="F73" s="875"/>
      <c r="G73" s="875" t="s">
        <v>362</v>
      </c>
      <c r="H73" s="875"/>
      <c r="I73" s="875" t="s">
        <v>363</v>
      </c>
      <c r="J73" s="875"/>
      <c r="K73" s="875"/>
      <c r="L73" s="876" t="s">
        <v>362</v>
      </c>
      <c r="M73" s="876" t="s">
        <v>363</v>
      </c>
      <c r="N73" s="875"/>
      <c r="O73" s="875" t="s">
        <v>362</v>
      </c>
      <c r="P73" s="875"/>
      <c r="Q73" s="875" t="s">
        <v>363</v>
      </c>
      <c r="R73" s="875"/>
      <c r="S73" s="875"/>
      <c r="T73" s="876" t="s">
        <v>362</v>
      </c>
      <c r="U73" s="876" t="s">
        <v>363</v>
      </c>
      <c r="V73" s="875"/>
    </row>
    <row r="74" spans="1:22" s="651" customFormat="1" ht="47.25" customHeight="1">
      <c r="A74" s="875"/>
      <c r="B74" s="875"/>
      <c r="C74" s="875"/>
      <c r="D74" s="427" t="s">
        <v>384</v>
      </c>
      <c r="E74" s="427" t="s">
        <v>385</v>
      </c>
      <c r="F74" s="875"/>
      <c r="G74" s="427" t="s">
        <v>364</v>
      </c>
      <c r="H74" s="427" t="s">
        <v>365</v>
      </c>
      <c r="I74" s="427" t="s">
        <v>364</v>
      </c>
      <c r="J74" s="427" t="s">
        <v>365</v>
      </c>
      <c r="K74" s="875"/>
      <c r="L74" s="876"/>
      <c r="M74" s="876"/>
      <c r="N74" s="875"/>
      <c r="O74" s="427" t="s">
        <v>364</v>
      </c>
      <c r="P74" s="427" t="s">
        <v>365</v>
      </c>
      <c r="Q74" s="427" t="s">
        <v>364</v>
      </c>
      <c r="R74" s="427" t="s">
        <v>365</v>
      </c>
      <c r="S74" s="875"/>
      <c r="T74" s="876"/>
      <c r="U74" s="876"/>
      <c r="V74" s="875"/>
    </row>
    <row r="75" spans="1:22" s="654" customFormat="1" ht="10.5" customHeight="1">
      <c r="A75" s="652"/>
      <c r="B75" s="653">
        <v>1</v>
      </c>
      <c r="C75" s="653">
        <f aca="true" t="shared" si="15" ref="C75:V75">B75+1</f>
        <v>2</v>
      </c>
      <c r="D75" s="653">
        <f t="shared" si="15"/>
        <v>3</v>
      </c>
      <c r="E75" s="653">
        <f t="shared" si="15"/>
        <v>4</v>
      </c>
      <c r="F75" s="653">
        <f t="shared" si="15"/>
        <v>5</v>
      </c>
      <c r="G75" s="653">
        <f t="shared" si="15"/>
        <v>6</v>
      </c>
      <c r="H75" s="653">
        <f t="shared" si="15"/>
        <v>7</v>
      </c>
      <c r="I75" s="653">
        <f t="shared" si="15"/>
        <v>8</v>
      </c>
      <c r="J75" s="653">
        <f t="shared" si="15"/>
        <v>9</v>
      </c>
      <c r="K75" s="653">
        <f t="shared" si="15"/>
        <v>10</v>
      </c>
      <c r="L75" s="653">
        <f t="shared" si="15"/>
        <v>11</v>
      </c>
      <c r="M75" s="653">
        <f t="shared" si="15"/>
        <v>12</v>
      </c>
      <c r="N75" s="653">
        <f t="shared" si="15"/>
        <v>13</v>
      </c>
      <c r="O75" s="653">
        <f t="shared" si="15"/>
        <v>14</v>
      </c>
      <c r="P75" s="653">
        <f t="shared" si="15"/>
        <v>15</v>
      </c>
      <c r="Q75" s="653">
        <f t="shared" si="15"/>
        <v>16</v>
      </c>
      <c r="R75" s="653">
        <f t="shared" si="15"/>
        <v>17</v>
      </c>
      <c r="S75" s="653">
        <f t="shared" si="15"/>
        <v>18</v>
      </c>
      <c r="T75" s="653">
        <f t="shared" si="15"/>
        <v>19</v>
      </c>
      <c r="U75" s="653">
        <f t="shared" si="15"/>
        <v>20</v>
      </c>
      <c r="V75" s="653">
        <f t="shared" si="15"/>
        <v>21</v>
      </c>
    </row>
    <row r="76" spans="1:22" s="689" customFormat="1" ht="36">
      <c r="A76" s="424" t="s">
        <v>310</v>
      </c>
      <c r="B76" s="655" t="s">
        <v>388</v>
      </c>
      <c r="C76" s="656" t="e">
        <f>ROUND(S76/N76,4)</f>
        <v>#DIV/0!</v>
      </c>
      <c r="D76" s="657"/>
      <c r="E76" s="657"/>
      <c r="F76" s="687"/>
      <c r="G76" s="688"/>
      <c r="H76" s="688">
        <f>F76-G76</f>
        <v>0</v>
      </c>
      <c r="I76" s="688"/>
      <c r="J76" s="688">
        <f>F76-I76</f>
        <v>0</v>
      </c>
      <c r="K76" s="656"/>
      <c r="L76" s="656"/>
      <c r="M76" s="656">
        <f>K76-L76</f>
        <v>0</v>
      </c>
      <c r="N76" s="660">
        <f>O76+P76+Q76+R76</f>
        <v>0</v>
      </c>
      <c r="O76" s="661">
        <f>ROUND(G76*L76*2/1000,4)</f>
        <v>0</v>
      </c>
      <c r="P76" s="661">
        <f>ROUND(H76*L76*2/1000,4)</f>
        <v>0</v>
      </c>
      <c r="Q76" s="661">
        <f>ROUND(I76*M76*2/1000,4)</f>
        <v>0</v>
      </c>
      <c r="R76" s="661">
        <f>ROUND(J76*M76*2/1000,4)</f>
        <v>0</v>
      </c>
      <c r="S76" s="662">
        <f>T76+U76</f>
        <v>0</v>
      </c>
      <c r="T76" s="662">
        <f>ROUND(D76*O76+E76*P76,1)</f>
        <v>0</v>
      </c>
      <c r="U76" s="662">
        <f>ROUND(D76*Q76+E76*R76,1)</f>
        <v>0</v>
      </c>
      <c r="V76" s="663"/>
    </row>
    <row r="77" spans="1:22" s="689" customFormat="1" ht="48">
      <c r="A77" s="424" t="s">
        <v>318</v>
      </c>
      <c r="B77" s="655" t="s">
        <v>389</v>
      </c>
      <c r="C77" s="656">
        <f>ROUND(S77/N77,4)</f>
        <v>1.9315</v>
      </c>
      <c r="D77" s="657"/>
      <c r="E77" s="657"/>
      <c r="F77" s="690">
        <f>ROUND(N77/K77/2*1000,1)</f>
        <v>92.1</v>
      </c>
      <c r="G77" s="688"/>
      <c r="H77" s="688">
        <f>F77-G77</f>
        <v>92.1</v>
      </c>
      <c r="I77" s="688"/>
      <c r="J77" s="688">
        <f>F77-I77</f>
        <v>92.1</v>
      </c>
      <c r="K77" s="810">
        <f>K78+K79</f>
        <v>856</v>
      </c>
      <c r="L77" s="810">
        <f>L78+L79</f>
        <v>856</v>
      </c>
      <c r="M77" s="656">
        <f>K77-L77</f>
        <v>0</v>
      </c>
      <c r="N77" s="660">
        <f aca="true" t="shared" si="16" ref="N77:V77">N78+N79</f>
        <v>157.704</v>
      </c>
      <c r="O77" s="660">
        <f t="shared" si="16"/>
        <v>128.4</v>
      </c>
      <c r="P77" s="660">
        <f t="shared" si="16"/>
        <v>29.304</v>
      </c>
      <c r="Q77" s="660">
        <f t="shared" si="16"/>
        <v>0</v>
      </c>
      <c r="R77" s="660">
        <f t="shared" si="16"/>
        <v>0</v>
      </c>
      <c r="S77" s="662">
        <f t="shared" si="16"/>
        <v>304.6</v>
      </c>
      <c r="T77" s="662">
        <f t="shared" si="16"/>
        <v>304.6</v>
      </c>
      <c r="U77" s="662">
        <f t="shared" si="16"/>
        <v>0</v>
      </c>
      <c r="V77" s="662">
        <f t="shared" si="16"/>
        <v>0</v>
      </c>
    </row>
    <row r="78" spans="1:22" s="693" customFormat="1" ht="24">
      <c r="A78" s="666" t="s">
        <v>50</v>
      </c>
      <c r="B78" s="667" t="s">
        <v>390</v>
      </c>
      <c r="C78" s="668">
        <f>ROUND(S78/N78,4)</f>
        <v>1.9315</v>
      </c>
      <c r="D78" s="657">
        <v>1.74</v>
      </c>
      <c r="E78" s="657">
        <v>2.77</v>
      </c>
      <c r="F78" s="691">
        <f>'Эл.7-1 2 пол.'!C71</f>
        <v>92.11682243</v>
      </c>
      <c r="G78" s="691">
        <v>75</v>
      </c>
      <c r="H78" s="692">
        <f>F78-G78</f>
        <v>17.11682243</v>
      </c>
      <c r="I78" s="692">
        <f>F78</f>
        <v>92.11682243</v>
      </c>
      <c r="J78" s="692">
        <f>F78-I78</f>
        <v>0</v>
      </c>
      <c r="K78" s="811">
        <v>856</v>
      </c>
      <c r="L78" s="811">
        <v>856</v>
      </c>
      <c r="M78" s="668">
        <f>K78-L78</f>
        <v>0</v>
      </c>
      <c r="N78" s="671">
        <f>O78+P78+Q78+R78</f>
        <v>157.704</v>
      </c>
      <c r="O78" s="672">
        <f>ROUND(G78*L78*2/1000,4)</f>
        <v>128.4</v>
      </c>
      <c r="P78" s="672">
        <f>ROUND(H78*L78*2/1000,4)</f>
        <v>29.304</v>
      </c>
      <c r="Q78" s="672">
        <f>ROUND(I78*M78*2/1000,4)</f>
        <v>0</v>
      </c>
      <c r="R78" s="672">
        <f>ROUND(J78*M78*2/1000,4)</f>
        <v>0</v>
      </c>
      <c r="S78" s="673">
        <f>T78+U78</f>
        <v>304.6</v>
      </c>
      <c r="T78" s="673">
        <f>ROUND(D78*O78+E78*P78,1)</f>
        <v>304.6</v>
      </c>
      <c r="U78" s="673">
        <f>ROUND(D78*Q78+E78*R78,1)</f>
        <v>0</v>
      </c>
      <c r="V78" s="674"/>
    </row>
    <row r="79" spans="1:22" s="694" customFormat="1" ht="39.75" customHeight="1">
      <c r="A79" s="676" t="s">
        <v>52</v>
      </c>
      <c r="B79" s="667" t="s">
        <v>391</v>
      </c>
      <c r="C79" s="716" t="e">
        <f>ROUND(S79/N79,4)</f>
        <v>#DIV/0!</v>
      </c>
      <c r="D79" s="657"/>
      <c r="E79" s="657"/>
      <c r="F79" s="692"/>
      <c r="G79" s="692"/>
      <c r="H79" s="692">
        <f>F79-G79</f>
        <v>0</v>
      </c>
      <c r="I79" s="692"/>
      <c r="J79" s="692">
        <f>F79-I79</f>
        <v>0</v>
      </c>
      <c r="K79" s="668"/>
      <c r="L79" s="668"/>
      <c r="M79" s="668">
        <f>K79-L79</f>
        <v>0</v>
      </c>
      <c r="N79" s="671">
        <f>O79+P79+Q79+R79</f>
        <v>0</v>
      </c>
      <c r="O79" s="672">
        <f>ROUND(G79*L79*2/1000,4)</f>
        <v>0</v>
      </c>
      <c r="P79" s="672">
        <f>ROUND(H79*L79*2/1000,4)</f>
        <v>0</v>
      </c>
      <c r="Q79" s="672">
        <f>ROUND(I79*M79*2/1000,4)</f>
        <v>0</v>
      </c>
      <c r="R79" s="672">
        <f>ROUND(J79*M79*2/1000,4)</f>
        <v>0</v>
      </c>
      <c r="S79" s="673">
        <f>T79+U79</f>
        <v>0</v>
      </c>
      <c r="T79" s="673">
        <f>ROUND(D79*O79+E79*P79,1)</f>
        <v>0</v>
      </c>
      <c r="U79" s="673">
        <f>ROUND(D79*Q79+E79*R79,1)</f>
        <v>0</v>
      </c>
      <c r="V79" s="677"/>
    </row>
    <row r="80" spans="1:22" s="705" customFormat="1" ht="27" customHeight="1">
      <c r="A80" s="882" t="s">
        <v>86</v>
      </c>
      <c r="B80" s="882"/>
      <c r="C80" s="717">
        <f>ROUND(S80/N80,6)</f>
        <v>1.931467</v>
      </c>
      <c r="D80" s="697"/>
      <c r="E80" s="698"/>
      <c r="F80" s="699">
        <f>ROUND(N80/K80/2*1000,1)</f>
        <v>92.1</v>
      </c>
      <c r="G80" s="700">
        <f>ROUND(O80/L80/2*1000,1)</f>
        <v>75</v>
      </c>
      <c r="H80" s="700">
        <f>ROUND(P80/L80/2*1000,1)</f>
        <v>17.1</v>
      </c>
      <c r="I80" s="700" t="e">
        <f>ROUND(Q80/M80/6*1000,1)</f>
        <v>#DIV/0!</v>
      </c>
      <c r="J80" s="700" t="e">
        <f>ROUND(R80/M80/6*1000,1)</f>
        <v>#DIV/0!</v>
      </c>
      <c r="K80" s="701">
        <f aca="true" t="shared" si="17" ref="K80:V80">SUM(K76:K77)</f>
        <v>856</v>
      </c>
      <c r="L80" s="701">
        <f t="shared" si="17"/>
        <v>856</v>
      </c>
      <c r="M80" s="701">
        <f t="shared" si="17"/>
        <v>0</v>
      </c>
      <c r="N80" s="702">
        <f t="shared" si="17"/>
        <v>157.704</v>
      </c>
      <c r="O80" s="702">
        <f t="shared" si="17"/>
        <v>128.4</v>
      </c>
      <c r="P80" s="702">
        <f t="shared" si="17"/>
        <v>29.304</v>
      </c>
      <c r="Q80" s="702">
        <f t="shared" si="17"/>
        <v>0</v>
      </c>
      <c r="R80" s="702">
        <f t="shared" si="17"/>
        <v>0</v>
      </c>
      <c r="S80" s="703">
        <f t="shared" si="17"/>
        <v>304.6</v>
      </c>
      <c r="T80" s="704">
        <f t="shared" si="17"/>
        <v>304.6</v>
      </c>
      <c r="U80" s="704">
        <f t="shared" si="17"/>
        <v>0</v>
      </c>
      <c r="V80" s="704">
        <f t="shared" si="17"/>
        <v>0</v>
      </c>
    </row>
    <row r="81" spans="1:22" s="705" customFormat="1" ht="11.25" customHeight="1">
      <c r="A81" s="695"/>
      <c r="B81" s="706"/>
      <c r="C81" s="707"/>
      <c r="D81" s="708"/>
      <c r="E81" s="709"/>
      <c r="F81" s="710"/>
      <c r="G81" s="710"/>
      <c r="H81" s="710"/>
      <c r="I81" s="710"/>
      <c r="J81" s="710"/>
      <c r="K81" s="711"/>
      <c r="L81" s="711"/>
      <c r="M81" s="711"/>
      <c r="N81" s="712"/>
      <c r="O81" s="712"/>
      <c r="P81" s="712"/>
      <c r="Q81" s="712"/>
      <c r="R81" s="712"/>
      <c r="S81" s="713"/>
      <c r="T81" s="714"/>
      <c r="U81" s="714"/>
      <c r="V81" s="715"/>
    </row>
    <row r="82" spans="1:15" s="208" customFormat="1" ht="14.25" customHeight="1">
      <c r="A82" s="274"/>
      <c r="B82" s="883" t="s">
        <v>157</v>
      </c>
      <c r="C82" s="883"/>
      <c r="D82" s="274"/>
      <c r="E82" s="274"/>
      <c r="F82" s="221"/>
      <c r="G82" s="222"/>
      <c r="H82" s="222"/>
      <c r="I82" s="222"/>
      <c r="J82" s="222"/>
      <c r="K82" s="222"/>
      <c r="L82" s="222"/>
      <c r="M82" s="274"/>
      <c r="N82" s="274"/>
      <c r="O82" s="274"/>
    </row>
    <row r="83" spans="1:15" s="208" customFormat="1" ht="15.75">
      <c r="A83" s="274"/>
      <c r="B83" s="394" t="s">
        <v>255</v>
      </c>
      <c r="C83" s="394"/>
      <c r="D83" s="274"/>
      <c r="E83" s="274"/>
      <c r="F83" s="221"/>
      <c r="G83" s="222"/>
      <c r="H83" s="222"/>
      <c r="I83" s="222"/>
      <c r="J83" s="222"/>
      <c r="K83" s="222"/>
      <c r="L83" s="222"/>
      <c r="M83" s="274"/>
      <c r="N83" s="274"/>
      <c r="O83" s="274"/>
    </row>
    <row r="84" spans="1:22" s="651" customFormat="1" ht="12.75" customHeight="1">
      <c r="A84" s="875" t="s">
        <v>105</v>
      </c>
      <c r="B84" s="875" t="s">
        <v>377</v>
      </c>
      <c r="C84" s="881" t="s">
        <v>210</v>
      </c>
      <c r="D84" s="881"/>
      <c r="E84" s="881"/>
      <c r="F84" s="881"/>
      <c r="G84" s="881"/>
      <c r="H84" s="881"/>
      <c r="I84" s="881"/>
      <c r="J84" s="881"/>
      <c r="K84" s="881"/>
      <c r="L84" s="881"/>
      <c r="M84" s="881"/>
      <c r="N84" s="881"/>
      <c r="O84" s="881"/>
      <c r="P84" s="881"/>
      <c r="Q84" s="881"/>
      <c r="R84" s="881"/>
      <c r="S84" s="881"/>
      <c r="T84" s="881"/>
      <c r="U84" s="881"/>
      <c r="V84" s="881"/>
    </row>
    <row r="85" spans="1:22" s="651" customFormat="1" ht="41.25" customHeight="1">
      <c r="A85" s="875"/>
      <c r="B85" s="875"/>
      <c r="C85" s="879" t="s">
        <v>378</v>
      </c>
      <c r="D85" s="879"/>
      <c r="E85" s="879"/>
      <c r="F85" s="879" t="s">
        <v>356</v>
      </c>
      <c r="G85" s="879"/>
      <c r="H85" s="879"/>
      <c r="I85" s="879"/>
      <c r="J85" s="879"/>
      <c r="K85" s="879" t="s">
        <v>357</v>
      </c>
      <c r="L85" s="879"/>
      <c r="M85" s="879"/>
      <c r="N85" s="879" t="s">
        <v>379</v>
      </c>
      <c r="O85" s="879"/>
      <c r="P85" s="879"/>
      <c r="Q85" s="879"/>
      <c r="R85" s="879"/>
      <c r="S85" s="879" t="s">
        <v>380</v>
      </c>
      <c r="T85" s="879"/>
      <c r="U85" s="879"/>
      <c r="V85" s="875" t="s">
        <v>381</v>
      </c>
    </row>
    <row r="86" spans="1:22" s="651" customFormat="1" ht="12" customHeight="1">
      <c r="A86" s="875"/>
      <c r="B86" s="875"/>
      <c r="C86" s="879"/>
      <c r="D86" s="879"/>
      <c r="E86" s="879"/>
      <c r="F86" s="875" t="s">
        <v>359</v>
      </c>
      <c r="G86" s="875" t="s">
        <v>360</v>
      </c>
      <c r="H86" s="875"/>
      <c r="I86" s="875"/>
      <c r="J86" s="875"/>
      <c r="K86" s="875" t="s">
        <v>359</v>
      </c>
      <c r="L86" s="875" t="s">
        <v>361</v>
      </c>
      <c r="M86" s="875"/>
      <c r="N86" s="875" t="s">
        <v>382</v>
      </c>
      <c r="O86" s="875" t="s">
        <v>360</v>
      </c>
      <c r="P86" s="875"/>
      <c r="Q86" s="875"/>
      <c r="R86" s="875"/>
      <c r="S86" s="875" t="s">
        <v>359</v>
      </c>
      <c r="T86" s="875" t="s">
        <v>361</v>
      </c>
      <c r="U86" s="875"/>
      <c r="V86" s="875"/>
    </row>
    <row r="87" spans="1:22" s="651" customFormat="1" ht="23.25" customHeight="1">
      <c r="A87" s="875"/>
      <c r="B87" s="875"/>
      <c r="C87" s="875" t="s">
        <v>383</v>
      </c>
      <c r="D87" s="876" t="s">
        <v>360</v>
      </c>
      <c r="E87" s="876"/>
      <c r="F87" s="875"/>
      <c r="G87" s="875" t="s">
        <v>362</v>
      </c>
      <c r="H87" s="875"/>
      <c r="I87" s="875" t="s">
        <v>363</v>
      </c>
      <c r="J87" s="875"/>
      <c r="K87" s="875"/>
      <c r="L87" s="876" t="s">
        <v>362</v>
      </c>
      <c r="M87" s="876" t="s">
        <v>363</v>
      </c>
      <c r="N87" s="875"/>
      <c r="O87" s="875" t="s">
        <v>362</v>
      </c>
      <c r="P87" s="875"/>
      <c r="Q87" s="875" t="s">
        <v>363</v>
      </c>
      <c r="R87" s="875"/>
      <c r="S87" s="875"/>
      <c r="T87" s="876" t="s">
        <v>362</v>
      </c>
      <c r="U87" s="876" t="s">
        <v>363</v>
      </c>
      <c r="V87" s="875"/>
    </row>
    <row r="88" spans="1:22" s="651" customFormat="1" ht="52.5" customHeight="1">
      <c r="A88" s="875"/>
      <c r="B88" s="875"/>
      <c r="C88" s="875"/>
      <c r="D88" s="427" t="s">
        <v>384</v>
      </c>
      <c r="E88" s="427" t="s">
        <v>385</v>
      </c>
      <c r="F88" s="875"/>
      <c r="G88" s="427" t="s">
        <v>364</v>
      </c>
      <c r="H88" s="427" t="s">
        <v>365</v>
      </c>
      <c r="I88" s="427" t="s">
        <v>364</v>
      </c>
      <c r="J88" s="427" t="s">
        <v>365</v>
      </c>
      <c r="K88" s="875"/>
      <c r="L88" s="876"/>
      <c r="M88" s="876"/>
      <c r="N88" s="875"/>
      <c r="O88" s="427" t="s">
        <v>386</v>
      </c>
      <c r="P88" s="427" t="s">
        <v>387</v>
      </c>
      <c r="Q88" s="427" t="s">
        <v>386</v>
      </c>
      <c r="R88" s="427" t="s">
        <v>387</v>
      </c>
      <c r="S88" s="875"/>
      <c r="T88" s="876"/>
      <c r="U88" s="876"/>
      <c r="V88" s="875"/>
    </row>
    <row r="89" spans="1:22" s="654" customFormat="1" ht="10.5" customHeight="1">
      <c r="A89" s="652"/>
      <c r="B89" s="653">
        <v>1</v>
      </c>
      <c r="C89" s="653">
        <f aca="true" t="shared" si="18" ref="C89:V89">B89+1</f>
        <v>2</v>
      </c>
      <c r="D89" s="653">
        <f t="shared" si="18"/>
        <v>3</v>
      </c>
      <c r="E89" s="653">
        <f t="shared" si="18"/>
        <v>4</v>
      </c>
      <c r="F89" s="653">
        <f t="shared" si="18"/>
        <v>5</v>
      </c>
      <c r="G89" s="653">
        <f t="shared" si="18"/>
        <v>6</v>
      </c>
      <c r="H89" s="653">
        <f t="shared" si="18"/>
        <v>7</v>
      </c>
      <c r="I89" s="653">
        <f t="shared" si="18"/>
        <v>8</v>
      </c>
      <c r="J89" s="653">
        <f t="shared" si="18"/>
        <v>9</v>
      </c>
      <c r="K89" s="653">
        <f t="shared" si="18"/>
        <v>10</v>
      </c>
      <c r="L89" s="653">
        <f t="shared" si="18"/>
        <v>11</v>
      </c>
      <c r="M89" s="653">
        <f t="shared" si="18"/>
        <v>12</v>
      </c>
      <c r="N89" s="653">
        <f t="shared" si="18"/>
        <v>13</v>
      </c>
      <c r="O89" s="653">
        <f t="shared" si="18"/>
        <v>14</v>
      </c>
      <c r="P89" s="653">
        <f t="shared" si="18"/>
        <v>15</v>
      </c>
      <c r="Q89" s="653">
        <f t="shared" si="18"/>
        <v>16</v>
      </c>
      <c r="R89" s="653">
        <f t="shared" si="18"/>
        <v>17</v>
      </c>
      <c r="S89" s="653">
        <f t="shared" si="18"/>
        <v>18</v>
      </c>
      <c r="T89" s="653">
        <f t="shared" si="18"/>
        <v>19</v>
      </c>
      <c r="U89" s="653">
        <f t="shared" si="18"/>
        <v>20</v>
      </c>
      <c r="V89" s="653">
        <f t="shared" si="18"/>
        <v>21</v>
      </c>
    </row>
    <row r="90" spans="1:22" s="494" customFormat="1" ht="36">
      <c r="A90" s="424" t="s">
        <v>310</v>
      </c>
      <c r="B90" s="655" t="s">
        <v>388</v>
      </c>
      <c r="C90" s="656" t="e">
        <f>ROUND(S90/N90,4)</f>
        <v>#DIV/0!</v>
      </c>
      <c r="D90" s="657"/>
      <c r="E90" s="657"/>
      <c r="F90" s="658"/>
      <c r="G90" s="659"/>
      <c r="H90" s="659">
        <f>F90-G90</f>
        <v>0</v>
      </c>
      <c r="I90" s="659"/>
      <c r="J90" s="659">
        <f>F90-I90</f>
        <v>0</v>
      </c>
      <c r="K90" s="656"/>
      <c r="L90" s="656"/>
      <c r="M90" s="656">
        <f>K90-L90</f>
        <v>0</v>
      </c>
      <c r="N90" s="660">
        <f>O90+P90+Q90+R90</f>
        <v>0</v>
      </c>
      <c r="O90" s="661">
        <f>ROUND(G90*L90*4/1000,4)</f>
        <v>0</v>
      </c>
      <c r="P90" s="661">
        <f>ROUND(H90*L90*4/1000,4)</f>
        <v>0</v>
      </c>
      <c r="Q90" s="661">
        <f>ROUND(I90*M90*4/1000,4)</f>
        <v>0</v>
      </c>
      <c r="R90" s="661">
        <f>ROUND(J90*M90*4/1000,4)</f>
        <v>0</v>
      </c>
      <c r="S90" s="662">
        <f>T90+U90</f>
        <v>0</v>
      </c>
      <c r="T90" s="662">
        <f>ROUND(D90*O90+E90*P90,1)</f>
        <v>0</v>
      </c>
      <c r="U90" s="662">
        <f>ROUND(D90*Q90+E90*R90,1)</f>
        <v>0</v>
      </c>
      <c r="V90" s="663"/>
    </row>
    <row r="91" spans="1:22" s="494" customFormat="1" ht="56.25" customHeight="1">
      <c r="A91" s="424" t="s">
        <v>318</v>
      </c>
      <c r="B91" s="655" t="s">
        <v>389</v>
      </c>
      <c r="C91" s="656">
        <f>ROUND(S91/N91,4)</f>
        <v>1.844</v>
      </c>
      <c r="D91" s="657"/>
      <c r="E91" s="657"/>
      <c r="F91" s="792">
        <f>ROUND(N91/K91/4*1000,1)</f>
        <v>92.1</v>
      </c>
      <c r="G91" s="659"/>
      <c r="H91" s="662">
        <f>F91-G91</f>
        <v>92.1</v>
      </c>
      <c r="I91" s="656"/>
      <c r="J91" s="662">
        <f>F91-I91</f>
        <v>92.1</v>
      </c>
      <c r="K91" s="665">
        <f>K92+K93</f>
        <v>856</v>
      </c>
      <c r="L91" s="665">
        <f>L92+L93</f>
        <v>856</v>
      </c>
      <c r="M91" s="656">
        <f>K91-L91</f>
        <v>0</v>
      </c>
      <c r="N91" s="660">
        <f aca="true" t="shared" si="19" ref="N91:V91">N92+N93</f>
        <v>315.408</v>
      </c>
      <c r="O91" s="660">
        <f t="shared" si="19"/>
        <v>256.8</v>
      </c>
      <c r="P91" s="660">
        <f t="shared" si="19"/>
        <v>58.608</v>
      </c>
      <c r="Q91" s="660">
        <f t="shared" si="19"/>
        <v>0</v>
      </c>
      <c r="R91" s="660">
        <f t="shared" si="19"/>
        <v>0</v>
      </c>
      <c r="S91" s="662">
        <f t="shared" si="19"/>
        <v>581.6</v>
      </c>
      <c r="T91" s="662">
        <f t="shared" si="19"/>
        <v>581.6</v>
      </c>
      <c r="U91" s="662">
        <f t="shared" si="19"/>
        <v>0</v>
      </c>
      <c r="V91" s="662">
        <f t="shared" si="19"/>
        <v>0</v>
      </c>
    </row>
    <row r="92" spans="1:22" s="675" customFormat="1" ht="24">
      <c r="A92" s="666" t="s">
        <v>50</v>
      </c>
      <c r="B92" s="667" t="s">
        <v>390</v>
      </c>
      <c r="C92" s="668">
        <f>ROUND(S92/N92,4)</f>
        <v>1.844</v>
      </c>
      <c r="D92" s="657">
        <v>1.66</v>
      </c>
      <c r="E92" s="657">
        <v>2.65</v>
      </c>
      <c r="F92" s="669">
        <f>'Эл.7-1 2 пол.'!C71</f>
        <v>92.11682243</v>
      </c>
      <c r="G92" s="669">
        <v>75</v>
      </c>
      <c r="H92" s="670">
        <f>F92-G92</f>
        <v>17.11682243</v>
      </c>
      <c r="I92" s="670">
        <f>F92</f>
        <v>92.11682243</v>
      </c>
      <c r="J92" s="670">
        <f>F92-I92</f>
        <v>0</v>
      </c>
      <c r="K92" s="668">
        <v>856</v>
      </c>
      <c r="L92" s="668">
        <v>856</v>
      </c>
      <c r="M92" s="668">
        <v>0</v>
      </c>
      <c r="N92" s="671">
        <f>O92+P92+Q92+R92</f>
        <v>315.408</v>
      </c>
      <c r="O92" s="672">
        <f>ROUND(G92*L92*4/1000,4)</f>
        <v>256.8</v>
      </c>
      <c r="P92" s="672">
        <f>ROUND(H92*L92*4/1000,4)</f>
        <v>58.608</v>
      </c>
      <c r="Q92" s="672">
        <f>ROUND(I92*M92*4/1000,4)</f>
        <v>0</v>
      </c>
      <c r="R92" s="672">
        <f>ROUND(J92*M92*4/1000,4)</f>
        <v>0</v>
      </c>
      <c r="S92" s="673">
        <f>T92+U92</f>
        <v>581.6</v>
      </c>
      <c r="T92" s="673">
        <f>ROUND(D92*O92+E92*P92,1)</f>
        <v>581.6</v>
      </c>
      <c r="U92" s="673">
        <f>ROUND(D92*Q92+E92*R92,1)</f>
        <v>0</v>
      </c>
      <c r="V92" s="674"/>
    </row>
    <row r="93" spans="1:22" s="675" customFormat="1" ht="24">
      <c r="A93" s="676" t="s">
        <v>52</v>
      </c>
      <c r="B93" s="667" t="s">
        <v>391</v>
      </c>
      <c r="C93" s="668" t="e">
        <f>ROUND(S93/N93,4)</f>
        <v>#DIV/0!</v>
      </c>
      <c r="D93" s="657"/>
      <c r="E93" s="657"/>
      <c r="F93" s="673"/>
      <c r="G93" s="673"/>
      <c r="H93" s="673">
        <f>F93-G93</f>
        <v>0</v>
      </c>
      <c r="I93" s="673"/>
      <c r="J93" s="673">
        <f>F93-I93</f>
        <v>0</v>
      </c>
      <c r="K93" s="668"/>
      <c r="L93" s="668"/>
      <c r="M93" s="668">
        <f>K93-L93</f>
        <v>0</v>
      </c>
      <c r="N93" s="671">
        <f>O93+P93+Q93+R93</f>
        <v>0</v>
      </c>
      <c r="O93" s="672">
        <f>ROUND(G93*L93*4/1000,4)</f>
        <v>0</v>
      </c>
      <c r="P93" s="672">
        <f>ROUND(H93*L93*4/1000,4)</f>
        <v>0</v>
      </c>
      <c r="Q93" s="672">
        <f>ROUND(I93*M93*4/1000,4)</f>
        <v>0</v>
      </c>
      <c r="R93" s="672">
        <f>ROUND(J93*M93*4/1000,4)</f>
        <v>0</v>
      </c>
      <c r="S93" s="673">
        <f>T93+U93</f>
        <v>0</v>
      </c>
      <c r="T93" s="673">
        <f>ROUND(D93*O93+E93*P93,1)</f>
        <v>0</v>
      </c>
      <c r="U93" s="673">
        <f>ROUND(D93*Q93+E93*R93,1)</f>
        <v>0</v>
      </c>
      <c r="V93" s="677"/>
    </row>
    <row r="94" spans="1:22" s="494" customFormat="1" ht="29.25" customHeight="1">
      <c r="A94" s="880" t="s">
        <v>246</v>
      </c>
      <c r="B94" s="880"/>
      <c r="C94" s="678">
        <f>ROUND(S94/N94,6)</f>
        <v>1.843961</v>
      </c>
      <c r="D94" s="679"/>
      <c r="E94" s="680"/>
      <c r="F94" s="681">
        <f>ROUND(N94/K94/4*1000,1)</f>
        <v>92.1</v>
      </c>
      <c r="G94" s="682">
        <f>ROUND(O94/L94/4*1000,1)</f>
        <v>75</v>
      </c>
      <c r="H94" s="682">
        <f>ROUND(P94/L94/4*1000,1)</f>
        <v>17.1</v>
      </c>
      <c r="I94" s="682" t="e">
        <f>ROUND(Q94/M94/6*1000,1)</f>
        <v>#DIV/0!</v>
      </c>
      <c r="J94" s="682" t="e">
        <f>ROUND(R94/M94/6*1000,1)</f>
        <v>#DIV/0!</v>
      </c>
      <c r="K94" s="683">
        <f aca="true" t="shared" si="20" ref="K94:V94">SUM(K90:K91)</f>
        <v>856</v>
      </c>
      <c r="L94" s="683">
        <f t="shared" si="20"/>
        <v>856</v>
      </c>
      <c r="M94" s="683">
        <f t="shared" si="20"/>
        <v>0</v>
      </c>
      <c r="N94" s="684">
        <f t="shared" si="20"/>
        <v>315.408</v>
      </c>
      <c r="O94" s="684">
        <f t="shared" si="20"/>
        <v>256.8</v>
      </c>
      <c r="P94" s="684">
        <f t="shared" si="20"/>
        <v>58.608</v>
      </c>
      <c r="Q94" s="684">
        <f t="shared" si="20"/>
        <v>0</v>
      </c>
      <c r="R94" s="684">
        <f t="shared" si="20"/>
        <v>0</v>
      </c>
      <c r="S94" s="685">
        <f t="shared" si="20"/>
        <v>581.6</v>
      </c>
      <c r="T94" s="686">
        <f t="shared" si="20"/>
        <v>581.6</v>
      </c>
      <c r="U94" s="686">
        <f t="shared" si="20"/>
        <v>0</v>
      </c>
      <c r="V94" s="686">
        <f t="shared" si="20"/>
        <v>0</v>
      </c>
    </row>
    <row r="95" spans="1:22" s="494" customFormat="1" ht="15" customHeight="1">
      <c r="A95" s="877"/>
      <c r="B95" s="877"/>
      <c r="C95" s="877"/>
      <c r="D95" s="877"/>
      <c r="E95" s="877"/>
      <c r="F95" s="877"/>
      <c r="G95" s="877"/>
      <c r="H95" s="877"/>
      <c r="I95" s="877"/>
      <c r="J95" s="877"/>
      <c r="K95" s="877"/>
      <c r="L95" s="877"/>
      <c r="M95" s="877"/>
      <c r="N95" s="877"/>
      <c r="O95" s="877"/>
      <c r="P95" s="877"/>
      <c r="Q95" s="877"/>
      <c r="R95" s="877"/>
      <c r="S95" s="877"/>
      <c r="T95" s="877"/>
      <c r="U95" s="877"/>
      <c r="V95" s="877"/>
    </row>
    <row r="96" spans="1:22" s="651" customFormat="1" ht="19.5" customHeight="1">
      <c r="A96" s="875" t="s">
        <v>105</v>
      </c>
      <c r="B96" s="875" t="s">
        <v>377</v>
      </c>
      <c r="C96" s="878" t="s">
        <v>431</v>
      </c>
      <c r="D96" s="878"/>
      <c r="E96" s="878"/>
      <c r="F96" s="878"/>
      <c r="G96" s="878"/>
      <c r="H96" s="878"/>
      <c r="I96" s="878"/>
      <c r="J96" s="878"/>
      <c r="K96" s="878"/>
      <c r="L96" s="878"/>
      <c r="M96" s="878"/>
      <c r="N96" s="878"/>
      <c r="O96" s="878"/>
      <c r="P96" s="878"/>
      <c r="Q96" s="878"/>
      <c r="R96" s="878"/>
      <c r="S96" s="878"/>
      <c r="T96" s="878"/>
      <c r="U96" s="878"/>
      <c r="V96" s="878"/>
    </row>
    <row r="97" spans="1:22" s="651" customFormat="1" ht="38.25" customHeight="1">
      <c r="A97" s="875"/>
      <c r="B97" s="875"/>
      <c r="C97" s="879" t="s">
        <v>378</v>
      </c>
      <c r="D97" s="879"/>
      <c r="E97" s="879"/>
      <c r="F97" s="879" t="s">
        <v>356</v>
      </c>
      <c r="G97" s="879"/>
      <c r="H97" s="879"/>
      <c r="I97" s="879"/>
      <c r="J97" s="879"/>
      <c r="K97" s="879" t="s">
        <v>357</v>
      </c>
      <c r="L97" s="879"/>
      <c r="M97" s="879"/>
      <c r="N97" s="879" t="s">
        <v>379</v>
      </c>
      <c r="O97" s="879"/>
      <c r="P97" s="879"/>
      <c r="Q97" s="879"/>
      <c r="R97" s="879"/>
      <c r="S97" s="879" t="s">
        <v>380</v>
      </c>
      <c r="T97" s="879"/>
      <c r="U97" s="879"/>
      <c r="V97" s="875" t="s">
        <v>381</v>
      </c>
    </row>
    <row r="98" spans="1:22" s="651" customFormat="1" ht="12" customHeight="1">
      <c r="A98" s="875"/>
      <c r="B98" s="875"/>
      <c r="C98" s="879"/>
      <c r="D98" s="879"/>
      <c r="E98" s="879"/>
      <c r="F98" s="875" t="s">
        <v>359</v>
      </c>
      <c r="G98" s="875" t="s">
        <v>360</v>
      </c>
      <c r="H98" s="875"/>
      <c r="I98" s="875"/>
      <c r="J98" s="875"/>
      <c r="K98" s="875" t="s">
        <v>359</v>
      </c>
      <c r="L98" s="875" t="s">
        <v>361</v>
      </c>
      <c r="M98" s="875"/>
      <c r="N98" s="875" t="s">
        <v>359</v>
      </c>
      <c r="O98" s="875" t="s">
        <v>360</v>
      </c>
      <c r="P98" s="875"/>
      <c r="Q98" s="875"/>
      <c r="R98" s="875"/>
      <c r="S98" s="875" t="s">
        <v>359</v>
      </c>
      <c r="T98" s="875" t="s">
        <v>361</v>
      </c>
      <c r="U98" s="875"/>
      <c r="V98" s="875"/>
    </row>
    <row r="99" spans="1:22" s="651" customFormat="1" ht="23.25" customHeight="1">
      <c r="A99" s="875"/>
      <c r="B99" s="875"/>
      <c r="C99" s="875" t="s">
        <v>392</v>
      </c>
      <c r="D99" s="876" t="s">
        <v>360</v>
      </c>
      <c r="E99" s="876"/>
      <c r="F99" s="875"/>
      <c r="G99" s="875" t="s">
        <v>362</v>
      </c>
      <c r="H99" s="875"/>
      <c r="I99" s="875" t="s">
        <v>363</v>
      </c>
      <c r="J99" s="875"/>
      <c r="K99" s="875"/>
      <c r="L99" s="876" t="s">
        <v>362</v>
      </c>
      <c r="M99" s="876" t="s">
        <v>363</v>
      </c>
      <c r="N99" s="875"/>
      <c r="O99" s="875" t="s">
        <v>362</v>
      </c>
      <c r="P99" s="875"/>
      <c r="Q99" s="875" t="s">
        <v>363</v>
      </c>
      <c r="R99" s="875"/>
      <c r="S99" s="875"/>
      <c r="T99" s="876" t="s">
        <v>362</v>
      </c>
      <c r="U99" s="876" t="s">
        <v>363</v>
      </c>
      <c r="V99" s="875"/>
    </row>
    <row r="100" spans="1:22" s="651" customFormat="1" ht="47.25" customHeight="1">
      <c r="A100" s="875"/>
      <c r="B100" s="875"/>
      <c r="C100" s="875"/>
      <c r="D100" s="427" t="s">
        <v>384</v>
      </c>
      <c r="E100" s="427" t="s">
        <v>385</v>
      </c>
      <c r="F100" s="875"/>
      <c r="G100" s="427" t="s">
        <v>364</v>
      </c>
      <c r="H100" s="427" t="s">
        <v>365</v>
      </c>
      <c r="I100" s="427" t="s">
        <v>364</v>
      </c>
      <c r="J100" s="427" t="s">
        <v>365</v>
      </c>
      <c r="K100" s="875"/>
      <c r="L100" s="876"/>
      <c r="M100" s="876"/>
      <c r="N100" s="875"/>
      <c r="O100" s="427" t="s">
        <v>364</v>
      </c>
      <c r="P100" s="427" t="s">
        <v>365</v>
      </c>
      <c r="Q100" s="427" t="s">
        <v>364</v>
      </c>
      <c r="R100" s="427" t="s">
        <v>365</v>
      </c>
      <c r="S100" s="875"/>
      <c r="T100" s="876"/>
      <c r="U100" s="876"/>
      <c r="V100" s="875"/>
    </row>
    <row r="101" spans="1:22" s="654" customFormat="1" ht="10.5" customHeight="1">
      <c r="A101" s="652"/>
      <c r="B101" s="653">
        <v>1</v>
      </c>
      <c r="C101" s="653">
        <f aca="true" t="shared" si="21" ref="C101:V101">B101+1</f>
        <v>2</v>
      </c>
      <c r="D101" s="653">
        <f t="shared" si="21"/>
        <v>3</v>
      </c>
      <c r="E101" s="653">
        <f t="shared" si="21"/>
        <v>4</v>
      </c>
      <c r="F101" s="653">
        <f t="shared" si="21"/>
        <v>5</v>
      </c>
      <c r="G101" s="653">
        <f t="shared" si="21"/>
        <v>6</v>
      </c>
      <c r="H101" s="653">
        <f t="shared" si="21"/>
        <v>7</v>
      </c>
      <c r="I101" s="653">
        <f t="shared" si="21"/>
        <v>8</v>
      </c>
      <c r="J101" s="653">
        <f t="shared" si="21"/>
        <v>9</v>
      </c>
      <c r="K101" s="653">
        <f t="shared" si="21"/>
        <v>10</v>
      </c>
      <c r="L101" s="653">
        <f t="shared" si="21"/>
        <v>11</v>
      </c>
      <c r="M101" s="653">
        <f t="shared" si="21"/>
        <v>12</v>
      </c>
      <c r="N101" s="653">
        <f t="shared" si="21"/>
        <v>13</v>
      </c>
      <c r="O101" s="653">
        <f t="shared" si="21"/>
        <v>14</v>
      </c>
      <c r="P101" s="653">
        <f t="shared" si="21"/>
        <v>15</v>
      </c>
      <c r="Q101" s="653">
        <f t="shared" si="21"/>
        <v>16</v>
      </c>
      <c r="R101" s="653">
        <f t="shared" si="21"/>
        <v>17</v>
      </c>
      <c r="S101" s="653">
        <f t="shared" si="21"/>
        <v>18</v>
      </c>
      <c r="T101" s="653">
        <f t="shared" si="21"/>
        <v>19</v>
      </c>
      <c r="U101" s="653">
        <f t="shared" si="21"/>
        <v>20</v>
      </c>
      <c r="V101" s="653">
        <f t="shared" si="21"/>
        <v>21</v>
      </c>
    </row>
    <row r="102" spans="1:22" s="689" customFormat="1" ht="36">
      <c r="A102" s="424" t="s">
        <v>310</v>
      </c>
      <c r="B102" s="655" t="s">
        <v>388</v>
      </c>
      <c r="C102" s="656" t="e">
        <f>ROUND(S102/N102,4)</f>
        <v>#DIV/0!</v>
      </c>
      <c r="D102" s="657"/>
      <c r="E102" s="657"/>
      <c r="F102" s="687"/>
      <c r="G102" s="688"/>
      <c r="H102" s="688">
        <f>F102-G102</f>
        <v>0</v>
      </c>
      <c r="I102" s="688"/>
      <c r="J102" s="688">
        <f>F102-I102</f>
        <v>0</v>
      </c>
      <c r="K102" s="656"/>
      <c r="L102" s="656"/>
      <c r="M102" s="656">
        <f>K102-L102</f>
        <v>0</v>
      </c>
      <c r="N102" s="660">
        <f>O102+P102+Q102+R102</f>
        <v>0</v>
      </c>
      <c r="O102" s="661">
        <f>ROUND(G102*L102*4/1000,4)</f>
        <v>0</v>
      </c>
      <c r="P102" s="661">
        <f>ROUND(H102*L102*4/1000,4)</f>
        <v>0</v>
      </c>
      <c r="Q102" s="661">
        <f>ROUND(I102*M102*4/1000,4)</f>
        <v>0</v>
      </c>
      <c r="R102" s="661">
        <f>ROUND(J102*M102*4/1000,4)</f>
        <v>0</v>
      </c>
      <c r="S102" s="662">
        <f>T102+U102</f>
        <v>0</v>
      </c>
      <c r="T102" s="662">
        <f>ROUND(D102*O102+E102*P102,1)</f>
        <v>0</v>
      </c>
      <c r="U102" s="662">
        <f>ROUND(D102*Q102+E102*R102,1)</f>
        <v>0</v>
      </c>
      <c r="V102" s="663"/>
    </row>
    <row r="103" spans="1:22" s="689" customFormat="1" ht="48">
      <c r="A103" s="424" t="s">
        <v>318</v>
      </c>
      <c r="B103" s="655" t="s">
        <v>389</v>
      </c>
      <c r="C103" s="656">
        <f>ROUND(S103/N103,4)</f>
        <v>1.9315</v>
      </c>
      <c r="D103" s="657"/>
      <c r="E103" s="657"/>
      <c r="F103" s="690">
        <f>ROUND(N103/K103/4*1000,1)</f>
        <v>92.1</v>
      </c>
      <c r="G103" s="688"/>
      <c r="H103" s="688">
        <f>F103-G103</f>
        <v>92.1</v>
      </c>
      <c r="I103" s="688"/>
      <c r="J103" s="688">
        <f>F103-I103</f>
        <v>92.1</v>
      </c>
      <c r="K103" s="810">
        <f>K104+K105</f>
        <v>856</v>
      </c>
      <c r="L103" s="810">
        <f>L104+L105</f>
        <v>856</v>
      </c>
      <c r="M103" s="656">
        <f>K103-L103</f>
        <v>0</v>
      </c>
      <c r="N103" s="660">
        <f aca="true" t="shared" si="22" ref="N103:V103">N104+N105</f>
        <v>315.408</v>
      </c>
      <c r="O103" s="660">
        <f t="shared" si="22"/>
        <v>256.8</v>
      </c>
      <c r="P103" s="660">
        <f t="shared" si="22"/>
        <v>58.608</v>
      </c>
      <c r="Q103" s="660">
        <f t="shared" si="22"/>
        <v>0</v>
      </c>
      <c r="R103" s="660">
        <f t="shared" si="22"/>
        <v>0</v>
      </c>
      <c r="S103" s="662">
        <f t="shared" si="22"/>
        <v>609.2</v>
      </c>
      <c r="T103" s="662">
        <f t="shared" si="22"/>
        <v>609.2</v>
      </c>
      <c r="U103" s="662">
        <f t="shared" si="22"/>
        <v>0</v>
      </c>
      <c r="V103" s="662">
        <f t="shared" si="22"/>
        <v>0</v>
      </c>
    </row>
    <row r="104" spans="1:22" s="693" customFormat="1" ht="24">
      <c r="A104" s="666" t="s">
        <v>50</v>
      </c>
      <c r="B104" s="667" t="s">
        <v>390</v>
      </c>
      <c r="C104" s="668">
        <f>ROUND(S104/N104,4)</f>
        <v>1.9315</v>
      </c>
      <c r="D104" s="657">
        <v>1.74</v>
      </c>
      <c r="E104" s="657">
        <v>2.77</v>
      </c>
      <c r="F104" s="691">
        <f>'Эл.7-1 2 пол.'!C71</f>
        <v>92.11682243</v>
      </c>
      <c r="G104" s="691">
        <v>75</v>
      </c>
      <c r="H104" s="692">
        <f>F104-G104</f>
        <v>17.11682243</v>
      </c>
      <c r="I104" s="692">
        <f>F104</f>
        <v>92.11682243</v>
      </c>
      <c r="J104" s="692">
        <f>F104-I104</f>
        <v>0</v>
      </c>
      <c r="K104" s="811">
        <v>856</v>
      </c>
      <c r="L104" s="811">
        <v>856</v>
      </c>
      <c r="M104" s="668">
        <f>K104-L104</f>
        <v>0</v>
      </c>
      <c r="N104" s="671">
        <f>O104+P104+Q104+R104</f>
        <v>315.408</v>
      </c>
      <c r="O104" s="672">
        <f>ROUND(G104*L104*4/1000,4)</f>
        <v>256.8</v>
      </c>
      <c r="P104" s="672">
        <f>ROUND(H104*L104*4/1000,4)</f>
        <v>58.608</v>
      </c>
      <c r="Q104" s="672">
        <f>ROUND(I104*M104*4/1000,4)</f>
        <v>0</v>
      </c>
      <c r="R104" s="672">
        <f>ROUND(J104*M104*4/1000,4)</f>
        <v>0</v>
      </c>
      <c r="S104" s="673">
        <f>T104+U104</f>
        <v>609.2</v>
      </c>
      <c r="T104" s="673">
        <f>ROUND(D104*O104+E104*P104,1)</f>
        <v>609.2</v>
      </c>
      <c r="U104" s="673">
        <f>ROUND(D104*Q104+E104*R104,1)</f>
        <v>0</v>
      </c>
      <c r="V104" s="674"/>
    </row>
    <row r="105" spans="1:22" s="694" customFormat="1" ht="39.75" customHeight="1">
      <c r="A105" s="676" t="s">
        <v>52</v>
      </c>
      <c r="B105" s="667" t="s">
        <v>391</v>
      </c>
      <c r="C105" s="716" t="e">
        <f>ROUND(S105/N105,4)</f>
        <v>#DIV/0!</v>
      </c>
      <c r="D105" s="657"/>
      <c r="E105" s="657"/>
      <c r="F105" s="692"/>
      <c r="G105" s="692"/>
      <c r="H105" s="692">
        <f>F105-G105</f>
        <v>0</v>
      </c>
      <c r="I105" s="692"/>
      <c r="J105" s="692">
        <f>F105-I105</f>
        <v>0</v>
      </c>
      <c r="K105" s="668"/>
      <c r="L105" s="668"/>
      <c r="M105" s="668">
        <f>K105-L105</f>
        <v>0</v>
      </c>
      <c r="N105" s="671">
        <f>O105+P105+Q105+R105</f>
        <v>0</v>
      </c>
      <c r="O105" s="672">
        <f>ROUND(G105*L105*4/1000,4)</f>
        <v>0</v>
      </c>
      <c r="P105" s="672">
        <f>ROUND(H105*L105*4/1000,4)</f>
        <v>0</v>
      </c>
      <c r="Q105" s="672">
        <f>ROUND(I105*M105*4/1000,4)</f>
        <v>0</v>
      </c>
      <c r="R105" s="672">
        <f>ROUND(J105*M105*4/1000,4)</f>
        <v>0</v>
      </c>
      <c r="S105" s="673">
        <f>T105+U105</f>
        <v>0</v>
      </c>
      <c r="T105" s="673">
        <f>ROUND(D105*O105+E105*P105,1)</f>
        <v>0</v>
      </c>
      <c r="U105" s="673">
        <f>ROUND(D105*Q105+E105*R105,1)</f>
        <v>0</v>
      </c>
      <c r="V105" s="677"/>
    </row>
    <row r="106" spans="1:22" s="705" customFormat="1" ht="27" customHeight="1">
      <c r="A106" s="874" t="s">
        <v>86</v>
      </c>
      <c r="B106" s="874"/>
      <c r="C106" s="717">
        <f>ROUND(S106/N106,6)</f>
        <v>1.931467</v>
      </c>
      <c r="D106" s="718"/>
      <c r="E106" s="680"/>
      <c r="F106" s="682">
        <f>ROUND(N106/K106/4*1000,1)</f>
        <v>92.1</v>
      </c>
      <c r="G106" s="682">
        <f>ROUND(O106/L106/4*1000,1)</f>
        <v>75</v>
      </c>
      <c r="H106" s="682">
        <f>ROUND(P106/L106/4*1000,1)</f>
        <v>17.1</v>
      </c>
      <c r="I106" s="682" t="e">
        <f>ROUND(Q106/M106/6*1000,1)</f>
        <v>#DIV/0!</v>
      </c>
      <c r="J106" s="682" t="e">
        <f>ROUND(R106/M106/6*1000,1)</f>
        <v>#DIV/0!</v>
      </c>
      <c r="K106" s="683">
        <f aca="true" t="shared" si="23" ref="K106:V106">SUM(K102:K103)</f>
        <v>856</v>
      </c>
      <c r="L106" s="683">
        <f t="shared" si="23"/>
        <v>856</v>
      </c>
      <c r="M106" s="683">
        <f t="shared" si="23"/>
        <v>0</v>
      </c>
      <c r="N106" s="684">
        <f t="shared" si="23"/>
        <v>315.408</v>
      </c>
      <c r="O106" s="684">
        <f t="shared" si="23"/>
        <v>256.8</v>
      </c>
      <c r="P106" s="684">
        <f t="shared" si="23"/>
        <v>58.608</v>
      </c>
      <c r="Q106" s="684">
        <f t="shared" si="23"/>
        <v>0</v>
      </c>
      <c r="R106" s="684">
        <f t="shared" si="23"/>
        <v>0</v>
      </c>
      <c r="S106" s="685">
        <f t="shared" si="23"/>
        <v>609.2</v>
      </c>
      <c r="T106" s="686">
        <f t="shared" si="23"/>
        <v>609.2</v>
      </c>
      <c r="U106" s="686">
        <f t="shared" si="23"/>
        <v>0</v>
      </c>
      <c r="V106" s="686">
        <f t="shared" si="23"/>
        <v>0</v>
      </c>
    </row>
    <row r="107" spans="1:22" s="494" customFormat="1" ht="15">
      <c r="A107" s="719"/>
      <c r="B107" s="719"/>
      <c r="C107" s="719"/>
      <c r="D107" s="719"/>
      <c r="E107" s="720"/>
      <c r="F107" s="721"/>
      <c r="G107" s="721"/>
      <c r="H107" s="721"/>
      <c r="I107" s="721"/>
      <c r="J107" s="721"/>
      <c r="K107" s="721"/>
      <c r="L107" s="453"/>
      <c r="M107" s="453"/>
      <c r="N107" s="453"/>
      <c r="O107" s="722"/>
      <c r="P107" s="723"/>
      <c r="Q107" s="723"/>
      <c r="R107" s="723"/>
      <c r="S107" s="723"/>
      <c r="T107" s="723"/>
      <c r="U107" s="723"/>
      <c r="V107" s="723"/>
    </row>
    <row r="108" spans="1:15" s="727" customFormat="1" ht="14.25">
      <c r="A108" s="724"/>
      <c r="B108" s="725"/>
      <c r="C108" s="725"/>
      <c r="D108" s="725"/>
      <c r="E108" s="726"/>
      <c r="F108" s="726"/>
      <c r="G108" s="726"/>
      <c r="H108" s="726"/>
      <c r="I108" s="726"/>
      <c r="J108" s="726"/>
      <c r="K108" s="726"/>
      <c r="L108" s="650"/>
      <c r="M108" s="650"/>
      <c r="N108" s="650"/>
      <c r="O108" s="650"/>
    </row>
    <row r="109" spans="1:22" s="522" customFormat="1" ht="14.25">
      <c r="A109" s="724"/>
      <c r="B109" s="725"/>
      <c r="C109" s="725"/>
      <c r="D109" s="725"/>
      <c r="E109" s="726"/>
      <c r="F109" s="726"/>
      <c r="G109" s="726"/>
      <c r="H109" s="726"/>
      <c r="I109" s="726"/>
      <c r="J109" s="726"/>
      <c r="K109" s="726"/>
      <c r="L109" s="650"/>
      <c r="M109" s="650"/>
      <c r="N109" s="650"/>
      <c r="O109" s="650"/>
      <c r="P109" s="727"/>
      <c r="Q109" s="727"/>
      <c r="R109" s="727"/>
      <c r="S109" s="727"/>
      <c r="T109" s="727"/>
      <c r="U109" s="727"/>
      <c r="V109" s="727"/>
    </row>
    <row r="110" spans="1:22" s="522" customFormat="1" ht="14.25">
      <c r="A110" s="724"/>
      <c r="B110" s="725"/>
      <c r="C110" s="725"/>
      <c r="D110" s="725"/>
      <c r="E110" s="726"/>
      <c r="F110" s="726"/>
      <c r="G110" s="726"/>
      <c r="H110" s="726"/>
      <c r="I110" s="726"/>
      <c r="J110" s="726"/>
      <c r="K110" s="726"/>
      <c r="L110" s="650"/>
      <c r="M110" s="650"/>
      <c r="N110" s="650"/>
      <c r="O110" s="650"/>
      <c r="P110" s="727"/>
      <c r="Q110" s="727"/>
      <c r="R110" s="727"/>
      <c r="S110" s="727"/>
      <c r="T110" s="727"/>
      <c r="U110" s="727"/>
      <c r="V110" s="727"/>
    </row>
    <row r="111" spans="1:22" s="522" customFormat="1" ht="18.75">
      <c r="A111" s="366"/>
      <c r="B111" s="802" t="s">
        <v>422</v>
      </c>
      <c r="C111" s="803"/>
      <c r="D111" s="803" t="s">
        <v>423</v>
      </c>
      <c r="E111" s="809"/>
      <c r="F111" s="804"/>
      <c r="G111" s="366"/>
      <c r="H111" s="366"/>
      <c r="I111" s="366"/>
      <c r="J111" s="366"/>
      <c r="K111" s="366"/>
      <c r="L111" s="366"/>
      <c r="M111" s="366"/>
      <c r="N111" s="366"/>
      <c r="O111" s="366"/>
      <c r="P111" s="366"/>
      <c r="Q111" s="366"/>
      <c r="R111" s="366"/>
      <c r="S111" s="366"/>
      <c r="T111" s="366"/>
      <c r="U111" s="366"/>
      <c r="V111" s="366"/>
    </row>
    <row r="112" spans="1:22" s="522" customFormat="1" ht="18.75">
      <c r="A112" s="366"/>
      <c r="B112" s="802"/>
      <c r="C112" s="802"/>
      <c r="D112" s="802"/>
      <c r="E112" s="802"/>
      <c r="F112" s="804" t="s">
        <v>97</v>
      </c>
      <c r="G112" s="366"/>
      <c r="H112" s="366"/>
      <c r="I112" s="366"/>
      <c r="J112" s="366"/>
      <c r="K112" s="366"/>
      <c r="L112" s="366"/>
      <c r="M112" s="366"/>
      <c r="N112" s="366"/>
      <c r="O112" s="366"/>
      <c r="P112" s="366"/>
      <c r="Q112" s="366"/>
      <c r="R112" s="366"/>
      <c r="S112" s="366"/>
      <c r="T112" s="366"/>
      <c r="U112" s="366"/>
      <c r="V112" s="366"/>
    </row>
    <row r="113" spans="1:22" s="522" customFormat="1" ht="18" customHeight="1">
      <c r="A113" s="366"/>
      <c r="B113" s="802" t="s">
        <v>98</v>
      </c>
      <c r="C113" s="803" t="s">
        <v>424</v>
      </c>
      <c r="D113" s="803"/>
      <c r="E113" s="803"/>
      <c r="F113" s="804"/>
      <c r="G113" s="366"/>
      <c r="H113" s="366"/>
      <c r="I113" s="366"/>
      <c r="J113" s="366"/>
      <c r="K113" s="366"/>
      <c r="L113" s="366"/>
      <c r="M113" s="366"/>
      <c r="N113" s="366"/>
      <c r="O113" s="366"/>
      <c r="P113" s="366"/>
      <c r="Q113" s="366"/>
      <c r="R113" s="366"/>
      <c r="S113" s="366"/>
      <c r="T113" s="366"/>
      <c r="U113" s="366"/>
      <c r="V113" s="366"/>
    </row>
    <row r="114" spans="1:22" s="522" customFormat="1" ht="29.25" customHeight="1">
      <c r="A114" s="366"/>
      <c r="B114" s="802" t="s">
        <v>421</v>
      </c>
      <c r="C114" s="808" t="s">
        <v>425</v>
      </c>
      <c r="D114" s="807"/>
      <c r="E114" s="807"/>
      <c r="F114" s="804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</row>
    <row r="115" spans="1:22" s="522" customFormat="1" ht="15">
      <c r="A115" s="494"/>
      <c r="B115" s="494"/>
      <c r="C115" s="494"/>
      <c r="D115" s="494"/>
      <c r="E115" s="494"/>
      <c r="F115" s="453"/>
      <c r="G115" s="453"/>
      <c r="H115" s="453"/>
      <c r="I115" s="453"/>
      <c r="J115" s="453"/>
      <c r="K115" s="453"/>
      <c r="L115" s="453"/>
      <c r="M115" s="453"/>
      <c r="N115" s="453"/>
      <c r="O115" s="494"/>
      <c r="P115" s="494"/>
      <c r="Q115" s="494"/>
      <c r="R115" s="494"/>
      <c r="S115" s="494"/>
      <c r="T115" s="494"/>
      <c r="U115" s="494"/>
      <c r="V115" s="494"/>
    </row>
    <row r="116" spans="1:22" s="522" customFormat="1" ht="14.25" customHeight="1">
      <c r="A116" s="271"/>
      <c r="B116" s="271"/>
      <c r="C116" s="271"/>
      <c r="D116" s="271"/>
      <c r="E116" s="271"/>
      <c r="F116" s="396"/>
      <c r="G116" s="396"/>
      <c r="H116" s="396"/>
      <c r="I116" s="396"/>
      <c r="J116" s="396"/>
      <c r="K116" s="396"/>
      <c r="L116" s="396"/>
      <c r="M116" s="396"/>
      <c r="N116" s="396"/>
      <c r="O116" s="271"/>
      <c r="P116" s="271"/>
      <c r="Q116" s="271"/>
      <c r="R116" s="271"/>
      <c r="S116" s="271"/>
      <c r="T116" s="271"/>
      <c r="U116" s="271"/>
      <c r="V116" s="271"/>
    </row>
    <row r="117" spans="1:22" s="522" customFormat="1" ht="14.25" customHeight="1">
      <c r="A117" s="271"/>
      <c r="B117" s="271"/>
      <c r="C117" s="271"/>
      <c r="D117" s="271"/>
      <c r="E117" s="271"/>
      <c r="F117" s="396"/>
      <c r="G117" s="396"/>
      <c r="H117" s="396"/>
      <c r="I117" s="396"/>
      <c r="J117" s="396"/>
      <c r="K117" s="396"/>
      <c r="L117" s="396"/>
      <c r="M117" s="396"/>
      <c r="N117" s="396"/>
      <c r="O117" s="271"/>
      <c r="P117" s="271"/>
      <c r="Q117" s="271"/>
      <c r="R117" s="271"/>
      <c r="S117" s="271"/>
      <c r="T117" s="271"/>
      <c r="U117" s="271"/>
      <c r="V117" s="271"/>
    </row>
    <row r="118" spans="1:22" s="522" customFormat="1" ht="14.25" customHeight="1">
      <c r="A118" s="271"/>
      <c r="B118" s="271"/>
      <c r="C118" s="271"/>
      <c r="D118" s="271"/>
      <c r="E118" s="271"/>
      <c r="F118" s="396"/>
      <c r="G118" s="396"/>
      <c r="H118" s="396"/>
      <c r="I118" s="396"/>
      <c r="J118" s="396"/>
      <c r="K118" s="396"/>
      <c r="L118" s="396"/>
      <c r="M118" s="396"/>
      <c r="N118" s="396"/>
      <c r="O118" s="271"/>
      <c r="P118" s="271"/>
      <c r="Q118" s="271"/>
      <c r="R118" s="271"/>
      <c r="S118" s="271"/>
      <c r="T118" s="271"/>
      <c r="U118" s="271"/>
      <c r="V118" s="271"/>
    </row>
    <row r="119" spans="1:22" s="522" customFormat="1" ht="14.25">
      <c r="A119" s="271"/>
      <c r="B119" s="271"/>
      <c r="C119" s="271"/>
      <c r="D119" s="271"/>
      <c r="E119" s="271"/>
      <c r="F119" s="396"/>
      <c r="G119" s="396"/>
      <c r="H119" s="396"/>
      <c r="I119" s="396"/>
      <c r="J119" s="396"/>
      <c r="K119" s="396"/>
      <c r="L119" s="396"/>
      <c r="M119" s="396"/>
      <c r="N119" s="396"/>
      <c r="O119" s="271"/>
      <c r="P119" s="271"/>
      <c r="Q119" s="271"/>
      <c r="R119" s="271"/>
      <c r="S119" s="271"/>
      <c r="T119" s="271"/>
      <c r="U119" s="271"/>
      <c r="V119" s="271"/>
    </row>
    <row r="120" spans="1:22" s="522" customFormat="1" ht="14.25">
      <c r="A120" s="271"/>
      <c r="B120" s="271"/>
      <c r="C120" s="271"/>
      <c r="D120" s="271"/>
      <c r="E120" s="271"/>
      <c r="F120" s="396"/>
      <c r="G120" s="396"/>
      <c r="H120" s="396"/>
      <c r="I120" s="396"/>
      <c r="J120" s="396"/>
      <c r="K120" s="396"/>
      <c r="L120" s="396"/>
      <c r="M120" s="396"/>
      <c r="N120" s="396"/>
      <c r="O120" s="271"/>
      <c r="P120" s="271"/>
      <c r="Q120" s="271"/>
      <c r="R120" s="271"/>
      <c r="S120" s="271"/>
      <c r="T120" s="271"/>
      <c r="U120" s="271"/>
      <c r="V120" s="271"/>
    </row>
    <row r="121" spans="1:22" s="727" customFormat="1" ht="14.25">
      <c r="A121" s="271"/>
      <c r="B121" s="271"/>
      <c r="C121" s="271"/>
      <c r="D121" s="271"/>
      <c r="E121" s="271"/>
      <c r="F121" s="396"/>
      <c r="G121" s="396"/>
      <c r="H121" s="396"/>
      <c r="I121" s="396"/>
      <c r="J121" s="396"/>
      <c r="K121" s="396"/>
      <c r="L121" s="396"/>
      <c r="M121" s="396"/>
      <c r="N121" s="396"/>
      <c r="O121" s="271"/>
      <c r="P121" s="271"/>
      <c r="Q121" s="271"/>
      <c r="R121" s="271"/>
      <c r="S121" s="271"/>
      <c r="T121" s="271"/>
      <c r="U121" s="271"/>
      <c r="V121" s="271"/>
    </row>
    <row r="122" spans="1:22" s="727" customFormat="1" ht="14.25">
      <c r="A122" s="271"/>
      <c r="B122" s="271"/>
      <c r="C122" s="271"/>
      <c r="D122" s="271"/>
      <c r="E122" s="271"/>
      <c r="F122" s="396"/>
      <c r="G122" s="396"/>
      <c r="H122" s="396"/>
      <c r="I122" s="396"/>
      <c r="J122" s="396"/>
      <c r="K122" s="396"/>
      <c r="L122" s="396"/>
      <c r="M122" s="396"/>
      <c r="N122" s="396"/>
      <c r="O122" s="271"/>
      <c r="P122" s="271"/>
      <c r="Q122" s="271"/>
      <c r="R122" s="271"/>
      <c r="S122" s="271"/>
      <c r="T122" s="271"/>
      <c r="U122" s="271"/>
      <c r="V122" s="271"/>
    </row>
    <row r="123" spans="1:22" s="727" customFormat="1" ht="14.25">
      <c r="A123" s="271"/>
      <c r="B123" s="271"/>
      <c r="C123" s="271"/>
      <c r="D123" s="271"/>
      <c r="E123" s="271"/>
      <c r="F123" s="396"/>
      <c r="G123" s="396"/>
      <c r="H123" s="396"/>
      <c r="I123" s="396"/>
      <c r="J123" s="396"/>
      <c r="K123" s="396"/>
      <c r="L123" s="396"/>
      <c r="M123" s="396"/>
      <c r="N123" s="396"/>
      <c r="O123" s="271"/>
      <c r="P123" s="271"/>
      <c r="Q123" s="271"/>
      <c r="R123" s="271"/>
      <c r="S123" s="271"/>
      <c r="T123" s="271"/>
      <c r="U123" s="271"/>
      <c r="V123" s="271"/>
    </row>
    <row r="124" spans="1:22" s="366" customFormat="1" ht="12.75">
      <c r="A124" s="271"/>
      <c r="B124" s="271"/>
      <c r="C124" s="271"/>
      <c r="D124" s="271"/>
      <c r="E124" s="271"/>
      <c r="F124" s="396"/>
      <c r="G124" s="396"/>
      <c r="H124" s="396"/>
      <c r="I124" s="396"/>
      <c r="J124" s="396"/>
      <c r="K124" s="396"/>
      <c r="L124" s="396"/>
      <c r="M124" s="396"/>
      <c r="N124" s="396"/>
      <c r="O124" s="271"/>
      <c r="P124" s="271"/>
      <c r="Q124" s="271"/>
      <c r="R124" s="271"/>
      <c r="S124" s="271"/>
      <c r="T124" s="271"/>
      <c r="U124" s="271"/>
      <c r="V124" s="271"/>
    </row>
    <row r="125" spans="1:22" s="366" customFormat="1" ht="12.75">
      <c r="A125" s="271"/>
      <c r="B125" s="271"/>
      <c r="C125" s="271"/>
      <c r="D125" s="271"/>
      <c r="E125" s="271"/>
      <c r="F125" s="396"/>
      <c r="G125" s="396"/>
      <c r="H125" s="396"/>
      <c r="I125" s="396"/>
      <c r="J125" s="396"/>
      <c r="K125" s="396"/>
      <c r="L125" s="396"/>
      <c r="M125" s="396"/>
      <c r="N125" s="396"/>
      <c r="O125" s="271"/>
      <c r="P125" s="271"/>
      <c r="Q125" s="271"/>
      <c r="R125" s="271"/>
      <c r="S125" s="271"/>
      <c r="T125" s="271"/>
      <c r="U125" s="271"/>
      <c r="V125" s="271"/>
    </row>
    <row r="126" spans="1:22" s="366" customFormat="1" ht="12.75">
      <c r="A126" s="271"/>
      <c r="B126" s="271"/>
      <c r="C126" s="271"/>
      <c r="D126" s="271"/>
      <c r="E126" s="271"/>
      <c r="F126" s="396"/>
      <c r="G126" s="396"/>
      <c r="H126" s="396"/>
      <c r="I126" s="396"/>
      <c r="J126" s="396"/>
      <c r="K126" s="396"/>
      <c r="L126" s="396"/>
      <c r="M126" s="396"/>
      <c r="N126" s="396"/>
      <c r="O126" s="271"/>
      <c r="P126" s="271"/>
      <c r="Q126" s="271"/>
      <c r="R126" s="271"/>
      <c r="S126" s="271"/>
      <c r="T126" s="271"/>
      <c r="U126" s="271"/>
      <c r="V126" s="271"/>
    </row>
    <row r="127" spans="1:22" s="366" customFormat="1" ht="12.75">
      <c r="A127" s="271"/>
      <c r="B127" s="271"/>
      <c r="C127" s="271"/>
      <c r="D127" s="271"/>
      <c r="E127" s="271"/>
      <c r="F127" s="396"/>
      <c r="G127" s="396"/>
      <c r="H127" s="396"/>
      <c r="I127" s="396"/>
      <c r="J127" s="396"/>
      <c r="K127" s="396"/>
      <c r="L127" s="396"/>
      <c r="M127" s="396"/>
      <c r="N127" s="396"/>
      <c r="O127" s="271"/>
      <c r="P127" s="271"/>
      <c r="Q127" s="271"/>
      <c r="R127" s="271"/>
      <c r="S127" s="271"/>
      <c r="T127" s="271"/>
      <c r="U127" s="271"/>
      <c r="V127" s="271"/>
    </row>
    <row r="128" spans="1:22" s="494" customFormat="1" ht="15">
      <c r="A128" s="271"/>
      <c r="B128" s="271"/>
      <c r="C128" s="271"/>
      <c r="D128" s="271"/>
      <c r="E128" s="271"/>
      <c r="F128" s="396"/>
      <c r="G128" s="396"/>
      <c r="H128" s="396"/>
      <c r="I128" s="396"/>
      <c r="J128" s="396"/>
      <c r="K128" s="396"/>
      <c r="L128" s="396"/>
      <c r="M128" s="396"/>
      <c r="N128" s="396"/>
      <c r="O128" s="271"/>
      <c r="P128" s="271"/>
      <c r="Q128" s="271"/>
      <c r="R128" s="271"/>
      <c r="S128" s="271"/>
      <c r="T128" s="271"/>
      <c r="U128" s="271"/>
      <c r="V128" s="271"/>
    </row>
  </sheetData>
  <sheetProtection selectLockedCells="1" selectUnlockedCells="1"/>
  <mergeCells count="229">
    <mergeCell ref="T9:U9"/>
    <mergeCell ref="L10:L11"/>
    <mergeCell ref="M10:M11"/>
    <mergeCell ref="O10:P10"/>
    <mergeCell ref="Q10:R10"/>
    <mergeCell ref="T10:T11"/>
    <mergeCell ref="U10:U11"/>
    <mergeCell ref="C10:C11"/>
    <mergeCell ref="D10:E10"/>
    <mergeCell ref="G10:H10"/>
    <mergeCell ref="I10:J10"/>
    <mergeCell ref="O9:R9"/>
    <mergeCell ref="S9:S11"/>
    <mergeCell ref="F8:J8"/>
    <mergeCell ref="K8:M8"/>
    <mergeCell ref="N8:R8"/>
    <mergeCell ref="S8:U8"/>
    <mergeCell ref="A2:U2"/>
    <mergeCell ref="B3:U3"/>
    <mergeCell ref="A7:A11"/>
    <mergeCell ref="B7:B11"/>
    <mergeCell ref="C7:V7"/>
    <mergeCell ref="C8:E9"/>
    <mergeCell ref="K20:M20"/>
    <mergeCell ref="N20:R20"/>
    <mergeCell ref="S20:U20"/>
    <mergeCell ref="V20:V23"/>
    <mergeCell ref="V8:V11"/>
    <mergeCell ref="F9:F11"/>
    <mergeCell ref="G9:J9"/>
    <mergeCell ref="K9:K11"/>
    <mergeCell ref="L9:M9"/>
    <mergeCell ref="N9:N11"/>
    <mergeCell ref="K21:K23"/>
    <mergeCell ref="L21:M21"/>
    <mergeCell ref="L22:L23"/>
    <mergeCell ref="M22:M23"/>
    <mergeCell ref="A17:B17"/>
    <mergeCell ref="A19:A23"/>
    <mergeCell ref="B19:B23"/>
    <mergeCell ref="C19:V19"/>
    <mergeCell ref="C20:E21"/>
    <mergeCell ref="F20:J20"/>
    <mergeCell ref="N21:N23"/>
    <mergeCell ref="O21:R21"/>
    <mergeCell ref="S21:S23"/>
    <mergeCell ref="T21:U21"/>
    <mergeCell ref="O22:P22"/>
    <mergeCell ref="Q22:R22"/>
    <mergeCell ref="T22:T23"/>
    <mergeCell ref="U22:U23"/>
    <mergeCell ref="C22:C23"/>
    <mergeCell ref="D22:E22"/>
    <mergeCell ref="G22:H22"/>
    <mergeCell ref="I22:J22"/>
    <mergeCell ref="F21:F23"/>
    <mergeCell ref="G21:J21"/>
    <mergeCell ref="A29:B29"/>
    <mergeCell ref="A33:A37"/>
    <mergeCell ref="B33:B37"/>
    <mergeCell ref="C33:V33"/>
    <mergeCell ref="C34:E35"/>
    <mergeCell ref="F34:J34"/>
    <mergeCell ref="K34:M34"/>
    <mergeCell ref="N34:R34"/>
    <mergeCell ref="S34:U34"/>
    <mergeCell ref="V34:V37"/>
    <mergeCell ref="O36:P36"/>
    <mergeCell ref="Q36:R36"/>
    <mergeCell ref="T36:T37"/>
    <mergeCell ref="U36:U37"/>
    <mergeCell ref="F35:F37"/>
    <mergeCell ref="G35:J35"/>
    <mergeCell ref="K35:K37"/>
    <mergeCell ref="L35:M35"/>
    <mergeCell ref="L36:L37"/>
    <mergeCell ref="M36:M37"/>
    <mergeCell ref="S46:U46"/>
    <mergeCell ref="V46:V49"/>
    <mergeCell ref="C36:C37"/>
    <mergeCell ref="D36:E36"/>
    <mergeCell ref="G36:H36"/>
    <mergeCell ref="I36:J36"/>
    <mergeCell ref="N35:N37"/>
    <mergeCell ref="O35:R35"/>
    <mergeCell ref="S35:S37"/>
    <mergeCell ref="T35:U35"/>
    <mergeCell ref="K47:K49"/>
    <mergeCell ref="L47:M47"/>
    <mergeCell ref="A43:B43"/>
    <mergeCell ref="A45:A49"/>
    <mergeCell ref="B45:B49"/>
    <mergeCell ref="C45:V45"/>
    <mergeCell ref="C46:E47"/>
    <mergeCell ref="F46:J46"/>
    <mergeCell ref="K46:M46"/>
    <mergeCell ref="N46:R46"/>
    <mergeCell ref="S47:S49"/>
    <mergeCell ref="T47:U47"/>
    <mergeCell ref="L48:L49"/>
    <mergeCell ref="T48:T49"/>
    <mergeCell ref="M48:M49"/>
    <mergeCell ref="O48:P48"/>
    <mergeCell ref="Q48:R48"/>
    <mergeCell ref="N47:N49"/>
    <mergeCell ref="O47:R47"/>
    <mergeCell ref="U48:U49"/>
    <mergeCell ref="C59:E60"/>
    <mergeCell ref="F59:J59"/>
    <mergeCell ref="K59:M59"/>
    <mergeCell ref="V59:V62"/>
    <mergeCell ref="C48:C49"/>
    <mergeCell ref="D48:E48"/>
    <mergeCell ref="G48:H48"/>
    <mergeCell ref="I48:J48"/>
    <mergeCell ref="F47:F49"/>
    <mergeCell ref="G47:J47"/>
    <mergeCell ref="F60:F62"/>
    <mergeCell ref="G60:J60"/>
    <mergeCell ref="K60:K62"/>
    <mergeCell ref="L60:M60"/>
    <mergeCell ref="A55:B55"/>
    <mergeCell ref="B56:C56"/>
    <mergeCell ref="A58:A62"/>
    <mergeCell ref="B58:B62"/>
    <mergeCell ref="C58:V58"/>
    <mergeCell ref="C61:C62"/>
    <mergeCell ref="O61:P61"/>
    <mergeCell ref="Q61:R61"/>
    <mergeCell ref="O60:R60"/>
    <mergeCell ref="S60:S62"/>
    <mergeCell ref="T60:U60"/>
    <mergeCell ref="N59:R59"/>
    <mergeCell ref="N60:N62"/>
    <mergeCell ref="K72:K74"/>
    <mergeCell ref="L72:M72"/>
    <mergeCell ref="D61:E61"/>
    <mergeCell ref="G61:H61"/>
    <mergeCell ref="I61:J61"/>
    <mergeCell ref="S59:U59"/>
    <mergeCell ref="T61:T62"/>
    <mergeCell ref="U61:U62"/>
    <mergeCell ref="L61:L62"/>
    <mergeCell ref="M61:M62"/>
    <mergeCell ref="Q73:R73"/>
    <mergeCell ref="S71:U71"/>
    <mergeCell ref="A68:B68"/>
    <mergeCell ref="A70:A74"/>
    <mergeCell ref="B70:B74"/>
    <mergeCell ref="C70:V70"/>
    <mergeCell ref="C71:E72"/>
    <mergeCell ref="F71:J71"/>
    <mergeCell ref="K71:M71"/>
    <mergeCell ref="N71:R71"/>
    <mergeCell ref="G73:H73"/>
    <mergeCell ref="I73:J73"/>
    <mergeCell ref="V71:V74"/>
    <mergeCell ref="N72:N74"/>
    <mergeCell ref="O72:R72"/>
    <mergeCell ref="S72:S74"/>
    <mergeCell ref="T72:U72"/>
    <mergeCell ref="T73:T74"/>
    <mergeCell ref="U73:U74"/>
    <mergeCell ref="O73:P73"/>
    <mergeCell ref="O86:R86"/>
    <mergeCell ref="S86:S88"/>
    <mergeCell ref="A80:B80"/>
    <mergeCell ref="B82:C82"/>
    <mergeCell ref="L73:L74"/>
    <mergeCell ref="M73:M74"/>
    <mergeCell ref="C73:C74"/>
    <mergeCell ref="D73:E73"/>
    <mergeCell ref="F72:F74"/>
    <mergeCell ref="G72:J72"/>
    <mergeCell ref="Q87:R87"/>
    <mergeCell ref="T87:T88"/>
    <mergeCell ref="N85:R85"/>
    <mergeCell ref="S85:U85"/>
    <mergeCell ref="V85:V88"/>
    <mergeCell ref="F86:F88"/>
    <mergeCell ref="G86:J86"/>
    <mergeCell ref="K86:K88"/>
    <mergeCell ref="L86:M86"/>
    <mergeCell ref="N86:N88"/>
    <mergeCell ref="F85:J85"/>
    <mergeCell ref="K85:M85"/>
    <mergeCell ref="T86:U86"/>
    <mergeCell ref="C87:C88"/>
    <mergeCell ref="D87:E87"/>
    <mergeCell ref="G87:H87"/>
    <mergeCell ref="I87:J87"/>
    <mergeCell ref="L87:L88"/>
    <mergeCell ref="M87:M88"/>
    <mergeCell ref="O87:P87"/>
    <mergeCell ref="K97:M97"/>
    <mergeCell ref="N97:R97"/>
    <mergeCell ref="S97:U97"/>
    <mergeCell ref="V97:V100"/>
    <mergeCell ref="U87:U88"/>
    <mergeCell ref="A94:B94"/>
    <mergeCell ref="A84:A88"/>
    <mergeCell ref="B84:B88"/>
    <mergeCell ref="C84:V84"/>
    <mergeCell ref="C85:E86"/>
    <mergeCell ref="K98:K100"/>
    <mergeCell ref="L98:M98"/>
    <mergeCell ref="L99:L100"/>
    <mergeCell ref="M99:M100"/>
    <mergeCell ref="A95:V95"/>
    <mergeCell ref="A96:A100"/>
    <mergeCell ref="B96:B100"/>
    <mergeCell ref="C96:V96"/>
    <mergeCell ref="C97:E98"/>
    <mergeCell ref="F97:J97"/>
    <mergeCell ref="N98:N100"/>
    <mergeCell ref="O98:R98"/>
    <mergeCell ref="S98:S100"/>
    <mergeCell ref="T98:U98"/>
    <mergeCell ref="O99:P99"/>
    <mergeCell ref="Q99:R99"/>
    <mergeCell ref="T99:T100"/>
    <mergeCell ref="U99:U100"/>
    <mergeCell ref="A106:B106"/>
    <mergeCell ref="C99:C100"/>
    <mergeCell ref="D99:E99"/>
    <mergeCell ref="G99:H99"/>
    <mergeCell ref="I99:J99"/>
    <mergeCell ref="F98:F100"/>
    <mergeCell ref="G98:J98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48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P104"/>
  <sheetViews>
    <sheetView zoomScale="86" zoomScaleNormal="86" zoomScaleSheetLayoutView="86" zoomScalePageLayoutView="0" workbookViewId="0" topLeftCell="D67">
      <selection activeCell="G85" sqref="G85:G86"/>
    </sheetView>
  </sheetViews>
  <sheetFormatPr defaultColWidth="9.00390625" defaultRowHeight="12.75"/>
  <cols>
    <col min="1" max="1" width="3.625" style="208" customWidth="1"/>
    <col min="2" max="2" width="24.25390625" style="208" customWidth="1"/>
    <col min="3" max="3" width="20.25390625" style="208" customWidth="1"/>
    <col min="4" max="4" width="14.25390625" style="208" customWidth="1"/>
    <col min="5" max="5" width="11.375" style="207" customWidth="1"/>
    <col min="6" max="6" width="9.75390625" style="207" customWidth="1"/>
    <col min="7" max="7" width="10.375" style="207" customWidth="1"/>
    <col min="8" max="8" width="9.75390625" style="207" customWidth="1"/>
    <col min="9" max="13" width="14.125" style="207" customWidth="1"/>
    <col min="14" max="14" width="14.625" style="207" customWidth="1"/>
    <col min="15" max="16" width="9.75390625" style="207" customWidth="1"/>
    <col min="18" max="18" width="9.875" style="0" customWidth="1"/>
  </cols>
  <sheetData>
    <row r="1" spans="1:16" ht="12.75">
      <c r="A1" s="214" t="s">
        <v>100</v>
      </c>
      <c r="N1" s="215" t="s">
        <v>101</v>
      </c>
      <c r="P1" s="215"/>
    </row>
    <row r="3" spans="1:16" ht="12.75" customHeight="1">
      <c r="A3" s="893" t="s">
        <v>432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  <c r="L3" s="893"/>
      <c r="M3" s="893"/>
      <c r="N3" s="893"/>
      <c r="O3" s="217"/>
      <c r="P3" s="217"/>
    </row>
    <row r="4" spans="1:16" ht="12.75">
      <c r="A4" s="218"/>
      <c r="B4" s="218"/>
      <c r="C4" s="219"/>
      <c r="D4" s="219"/>
      <c r="E4" s="219"/>
      <c r="F4" s="219"/>
      <c r="G4" s="219" t="s">
        <v>102</v>
      </c>
      <c r="H4" s="219"/>
      <c r="I4" s="219"/>
      <c r="J4" s="219"/>
      <c r="K4" s="219"/>
      <c r="L4" s="218"/>
      <c r="M4" s="218"/>
      <c r="N4" s="218"/>
      <c r="O4" s="218"/>
      <c r="P4" s="218"/>
    </row>
    <row r="5" spans="1:16" ht="11.25" customHeight="1">
      <c r="A5" s="220"/>
      <c r="B5" s="220"/>
      <c r="C5" s="220"/>
      <c r="D5" s="220"/>
      <c r="E5" s="221"/>
      <c r="F5" s="222"/>
      <c r="G5" s="222"/>
      <c r="H5" s="222"/>
      <c r="I5" s="220"/>
      <c r="N5" s="222"/>
      <c r="O5" s="220"/>
      <c r="P5" s="220"/>
    </row>
    <row r="6" spans="1:16" ht="12.75">
      <c r="A6" s="220"/>
      <c r="B6" s="223" t="s">
        <v>103</v>
      </c>
      <c r="C6" s="220"/>
      <c r="D6" s="220"/>
      <c r="E6" s="221"/>
      <c r="F6" s="222"/>
      <c r="G6" s="222"/>
      <c r="H6" s="222"/>
      <c r="I6" s="222"/>
      <c r="J6" s="222"/>
      <c r="K6" s="222"/>
      <c r="L6" s="222"/>
      <c r="M6" s="222"/>
      <c r="N6" s="222"/>
      <c r="O6" s="220"/>
      <c r="P6" s="220"/>
    </row>
    <row r="7" spans="1:16" ht="12.75">
      <c r="A7" s="220"/>
      <c r="B7" s="217" t="s">
        <v>104</v>
      </c>
      <c r="C7" s="220"/>
      <c r="D7" s="220"/>
      <c r="E7" s="221"/>
      <c r="F7" s="222"/>
      <c r="G7" s="222"/>
      <c r="H7" s="222"/>
      <c r="I7" s="222"/>
      <c r="J7" s="222"/>
      <c r="K7" s="222"/>
      <c r="L7" s="222"/>
      <c r="M7" s="222"/>
      <c r="N7" s="222"/>
      <c r="O7" s="220"/>
      <c r="P7" s="220"/>
    </row>
    <row r="8" spans="1:16" ht="12.75">
      <c r="A8" s="220"/>
      <c r="B8" s="220"/>
      <c r="C8" s="220"/>
      <c r="D8" s="220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0"/>
      <c r="P8" s="220"/>
    </row>
    <row r="9" spans="1:14" s="224" customFormat="1" ht="20.25" customHeight="1">
      <c r="A9" s="889" t="s">
        <v>105</v>
      </c>
      <c r="B9" s="889" t="s">
        <v>106</v>
      </c>
      <c r="C9" s="889" t="s">
        <v>107</v>
      </c>
      <c r="D9" s="889" t="s">
        <v>108</v>
      </c>
      <c r="E9" s="890" t="s">
        <v>109</v>
      </c>
      <c r="F9" s="890"/>
      <c r="G9" s="890"/>
      <c r="H9" s="890"/>
      <c r="I9" s="890"/>
      <c r="J9" s="892" t="s">
        <v>433</v>
      </c>
      <c r="K9" s="892"/>
      <c r="L9" s="892"/>
      <c r="M9" s="892"/>
      <c r="N9" s="892"/>
    </row>
    <row r="10" spans="1:14" s="227" customFormat="1" ht="67.5">
      <c r="A10" s="889"/>
      <c r="B10" s="889"/>
      <c r="C10" s="889"/>
      <c r="D10" s="889"/>
      <c r="E10" s="225" t="s">
        <v>110</v>
      </c>
      <c r="F10" s="225" t="s">
        <v>111</v>
      </c>
      <c r="G10" s="225" t="s">
        <v>112</v>
      </c>
      <c r="H10" s="225" t="s">
        <v>113</v>
      </c>
      <c r="I10" s="226" t="s">
        <v>114</v>
      </c>
      <c r="J10" s="226" t="s">
        <v>115</v>
      </c>
      <c r="K10" s="226" t="s">
        <v>111</v>
      </c>
      <c r="L10" s="225" t="s">
        <v>112</v>
      </c>
      <c r="M10" s="226" t="s">
        <v>113</v>
      </c>
      <c r="N10" s="226" t="s">
        <v>114</v>
      </c>
    </row>
    <row r="11" spans="1:14" s="229" customFormat="1" ht="12.75">
      <c r="A11" s="889"/>
      <c r="B11" s="889"/>
      <c r="C11" s="889"/>
      <c r="D11" s="889"/>
      <c r="E11" s="228" t="s">
        <v>116</v>
      </c>
      <c r="F11" s="228" t="s">
        <v>117</v>
      </c>
      <c r="G11" s="228" t="s">
        <v>118</v>
      </c>
      <c r="H11" s="228" t="s">
        <v>35</v>
      </c>
      <c r="I11" s="225" t="s">
        <v>42</v>
      </c>
      <c r="J11" s="228" t="s">
        <v>116</v>
      </c>
      <c r="K11" s="228" t="s">
        <v>117</v>
      </c>
      <c r="L11" s="228" t="s">
        <v>118</v>
      </c>
      <c r="M11" s="228" t="s">
        <v>35</v>
      </c>
      <c r="N11" s="225" t="s">
        <v>42</v>
      </c>
    </row>
    <row r="12" spans="1:14" s="232" customFormat="1" ht="12" customHeight="1">
      <c r="A12" s="230">
        <v>1</v>
      </c>
      <c r="B12" s="231">
        <f aca="true" t="shared" si="0" ref="B12:N12">A12+1</f>
        <v>2</v>
      </c>
      <c r="C12" s="231">
        <f t="shared" si="0"/>
        <v>3</v>
      </c>
      <c r="D12" s="231">
        <f t="shared" si="0"/>
        <v>4</v>
      </c>
      <c r="E12" s="231">
        <f t="shared" si="0"/>
        <v>5</v>
      </c>
      <c r="F12" s="231">
        <f t="shared" si="0"/>
        <v>6</v>
      </c>
      <c r="G12" s="231">
        <f t="shared" si="0"/>
        <v>7</v>
      </c>
      <c r="H12" s="231">
        <f t="shared" si="0"/>
        <v>8</v>
      </c>
      <c r="I12" s="231">
        <f t="shared" si="0"/>
        <v>9</v>
      </c>
      <c r="J12" s="231">
        <f t="shared" si="0"/>
        <v>10</v>
      </c>
      <c r="K12" s="231">
        <f t="shared" si="0"/>
        <v>11</v>
      </c>
      <c r="L12" s="231">
        <f t="shared" si="0"/>
        <v>12</v>
      </c>
      <c r="M12" s="231">
        <f t="shared" si="0"/>
        <v>13</v>
      </c>
      <c r="N12" s="231">
        <f t="shared" si="0"/>
        <v>14</v>
      </c>
    </row>
    <row r="13" spans="1:16" ht="12.75">
      <c r="A13" s="233">
        <v>1</v>
      </c>
      <c r="B13" s="234" t="s">
        <v>119</v>
      </c>
      <c r="C13" s="234" t="s">
        <v>120</v>
      </c>
      <c r="D13" s="816">
        <v>6</v>
      </c>
      <c r="E13" s="235">
        <v>0.0461</v>
      </c>
      <c r="F13" s="236">
        <v>5</v>
      </c>
      <c r="G13" s="831">
        <v>3.16489</v>
      </c>
      <c r="H13" s="236">
        <v>156</v>
      </c>
      <c r="I13" s="238">
        <f>ROUND(E13*F13*G13,5)</f>
        <v>0.72951</v>
      </c>
      <c r="J13" s="235">
        <v>0.0461</v>
      </c>
      <c r="K13" s="236">
        <v>5</v>
      </c>
      <c r="L13" s="237">
        <f aca="true" t="shared" si="1" ref="L13:M15">G13</f>
        <v>3.16489</v>
      </c>
      <c r="M13" s="236">
        <f t="shared" si="1"/>
        <v>156</v>
      </c>
      <c r="N13" s="238">
        <f>ROUND(J13*K13*L13,5)</f>
        <v>0.72951</v>
      </c>
      <c r="O13"/>
      <c r="P13"/>
    </row>
    <row r="14" spans="1:14" s="208" customFormat="1" ht="12.75">
      <c r="A14" s="239">
        <v>2</v>
      </c>
      <c r="B14" s="234" t="s">
        <v>119</v>
      </c>
      <c r="C14" s="234" t="s">
        <v>120</v>
      </c>
      <c r="D14" s="816">
        <v>1</v>
      </c>
      <c r="E14" s="235">
        <v>0.052</v>
      </c>
      <c r="F14" s="236">
        <v>5</v>
      </c>
      <c r="G14" s="831">
        <v>0.95818</v>
      </c>
      <c r="H14" s="236">
        <v>35</v>
      </c>
      <c r="I14" s="238">
        <f>ROUND(E14*F14*G14,5)</f>
        <v>0.24913</v>
      </c>
      <c r="J14" s="235">
        <v>0.052</v>
      </c>
      <c r="K14" s="236">
        <v>5</v>
      </c>
      <c r="L14" s="237">
        <f t="shared" si="1"/>
        <v>0.95818</v>
      </c>
      <c r="M14" s="236">
        <f t="shared" si="1"/>
        <v>35</v>
      </c>
      <c r="N14" s="238">
        <f>ROUND(J14*K14*L14,5)</f>
        <v>0.24913</v>
      </c>
    </row>
    <row r="15" spans="1:14" s="208" customFormat="1" ht="12.75">
      <c r="A15" s="239">
        <v>3</v>
      </c>
      <c r="B15" s="234" t="s">
        <v>119</v>
      </c>
      <c r="C15" s="234" t="s">
        <v>120</v>
      </c>
      <c r="D15" s="816">
        <v>4</v>
      </c>
      <c r="E15" s="235">
        <v>0.0456</v>
      </c>
      <c r="F15" s="236">
        <v>5</v>
      </c>
      <c r="G15" s="831">
        <v>0.46809</v>
      </c>
      <c r="H15" s="236">
        <v>16</v>
      </c>
      <c r="I15" s="238">
        <f>ROUND(E15*F15*G15,5)</f>
        <v>0.10672</v>
      </c>
      <c r="J15" s="235">
        <v>0.0456</v>
      </c>
      <c r="K15" s="236">
        <v>5</v>
      </c>
      <c r="L15" s="237">
        <f t="shared" si="1"/>
        <v>0.46809</v>
      </c>
      <c r="M15" s="236">
        <f t="shared" si="1"/>
        <v>16</v>
      </c>
      <c r="N15" s="238">
        <f>ROUND(J15*K15*L15,5)</f>
        <v>0.10672</v>
      </c>
    </row>
    <row r="16" spans="1:14" s="245" customFormat="1" ht="23.25" customHeight="1">
      <c r="A16" s="891" t="s">
        <v>121</v>
      </c>
      <c r="B16" s="891"/>
      <c r="C16" s="891"/>
      <c r="D16" s="818">
        <f>D13+D14+D15</f>
        <v>11</v>
      </c>
      <c r="E16" s="240">
        <f>ROUND(I16/G16/F16,8)</f>
        <v>0.04728043</v>
      </c>
      <c r="F16" s="241">
        <v>5</v>
      </c>
      <c r="G16" s="242">
        <f>SUM(G13:G15)</f>
        <v>4.59116</v>
      </c>
      <c r="H16" s="243">
        <f>SUM(H13:H15)</f>
        <v>207</v>
      </c>
      <c r="I16" s="244">
        <f>SUM(I13:I15)</f>
        <v>1.0853599999999999</v>
      </c>
      <c r="J16" s="240">
        <f>ROUND(N16/L16/K16,8)</f>
        <v>0.04728043</v>
      </c>
      <c r="K16" s="241">
        <v>5</v>
      </c>
      <c r="L16" s="242">
        <f>SUM(L13:L15)</f>
        <v>4.59116</v>
      </c>
      <c r="M16" s="243">
        <f>SUM(M13:M15)</f>
        <v>207</v>
      </c>
      <c r="N16" s="244">
        <f>SUM(N13:N15)</f>
        <v>1.0853599999999999</v>
      </c>
    </row>
    <row r="17" spans="1:4" s="207" customFormat="1" ht="12.75">
      <c r="A17" s="246"/>
      <c r="B17" s="246"/>
      <c r="C17" s="208"/>
      <c r="D17" s="208"/>
    </row>
    <row r="18" spans="1:4" s="207" customFormat="1" ht="12.75">
      <c r="A18" s="246"/>
      <c r="B18" s="247" t="s">
        <v>122</v>
      </c>
      <c r="C18" s="208"/>
      <c r="D18" s="208"/>
    </row>
    <row r="19" spans="1:4" s="207" customFormat="1" ht="12.75">
      <c r="A19" s="246"/>
      <c r="B19" s="246"/>
      <c r="C19" s="208"/>
      <c r="D19" s="208"/>
    </row>
    <row r="20" spans="1:14" s="207" customFormat="1" ht="22.5" customHeight="1">
      <c r="A20" s="889" t="s">
        <v>105</v>
      </c>
      <c r="B20" s="889" t="s">
        <v>106</v>
      </c>
      <c r="C20" s="889" t="s">
        <v>107</v>
      </c>
      <c r="D20" s="889" t="s">
        <v>108</v>
      </c>
      <c r="E20" s="890" t="s">
        <v>109</v>
      </c>
      <c r="F20" s="890"/>
      <c r="G20" s="890"/>
      <c r="H20" s="890"/>
      <c r="I20" s="890"/>
      <c r="J20" s="892" t="s">
        <v>433</v>
      </c>
      <c r="K20" s="892"/>
      <c r="L20" s="892"/>
      <c r="M20" s="892"/>
      <c r="N20" s="892"/>
    </row>
    <row r="21" spans="1:14" s="207" customFormat="1" ht="81.75" customHeight="1">
      <c r="A21" s="889"/>
      <c r="B21" s="889"/>
      <c r="C21" s="889"/>
      <c r="D21" s="889"/>
      <c r="E21" s="248" t="s">
        <v>123</v>
      </c>
      <c r="F21" s="225" t="s">
        <v>124</v>
      </c>
      <c r="G21" s="225" t="s">
        <v>112</v>
      </c>
      <c r="H21" s="225" t="s">
        <v>113</v>
      </c>
      <c r="I21" s="226" t="s">
        <v>114</v>
      </c>
      <c r="J21" s="225" t="s">
        <v>125</v>
      </c>
      <c r="K21" s="226" t="s">
        <v>111</v>
      </c>
      <c r="L21" s="225" t="s">
        <v>112</v>
      </c>
      <c r="M21" s="226" t="s">
        <v>113</v>
      </c>
      <c r="N21" s="226" t="s">
        <v>114</v>
      </c>
    </row>
    <row r="22" spans="1:14" s="207" customFormat="1" ht="12.75">
      <c r="A22" s="889"/>
      <c r="B22" s="889"/>
      <c r="C22" s="889"/>
      <c r="D22" s="889"/>
      <c r="E22" s="228" t="s">
        <v>126</v>
      </c>
      <c r="F22" s="228" t="s">
        <v>117</v>
      </c>
      <c r="G22" s="228" t="s">
        <v>118</v>
      </c>
      <c r="H22" s="228" t="s">
        <v>35</v>
      </c>
      <c r="I22" s="225" t="s">
        <v>42</v>
      </c>
      <c r="J22" s="228" t="s">
        <v>126</v>
      </c>
      <c r="K22" s="228" t="s">
        <v>117</v>
      </c>
      <c r="L22" s="228" t="s">
        <v>118</v>
      </c>
      <c r="M22" s="228" t="s">
        <v>35</v>
      </c>
      <c r="N22" s="225" t="s">
        <v>42</v>
      </c>
    </row>
    <row r="23" spans="1:14" s="207" customFormat="1" ht="12.75">
      <c r="A23" s="230">
        <v>1</v>
      </c>
      <c r="B23" s="231">
        <f aca="true" t="shared" si="2" ref="B23:N23">A23+1</f>
        <v>2</v>
      </c>
      <c r="C23" s="231">
        <f t="shared" si="2"/>
        <v>3</v>
      </c>
      <c r="D23" s="231">
        <f t="shared" si="2"/>
        <v>4</v>
      </c>
      <c r="E23" s="231">
        <f t="shared" si="2"/>
        <v>5</v>
      </c>
      <c r="F23" s="231">
        <f t="shared" si="2"/>
        <v>6</v>
      </c>
      <c r="G23" s="231">
        <f t="shared" si="2"/>
        <v>7</v>
      </c>
      <c r="H23" s="231">
        <f t="shared" si="2"/>
        <v>8</v>
      </c>
      <c r="I23" s="231">
        <f t="shared" si="2"/>
        <v>9</v>
      </c>
      <c r="J23" s="231">
        <f t="shared" si="2"/>
        <v>10</v>
      </c>
      <c r="K23" s="231">
        <f t="shared" si="2"/>
        <v>11</v>
      </c>
      <c r="L23" s="231">
        <f t="shared" si="2"/>
        <v>12</v>
      </c>
      <c r="M23" s="231">
        <f t="shared" si="2"/>
        <v>13</v>
      </c>
      <c r="N23" s="231">
        <f t="shared" si="2"/>
        <v>14</v>
      </c>
    </row>
    <row r="24" spans="1:14" s="207" customFormat="1" ht="12.75">
      <c r="A24" s="233"/>
      <c r="B24" s="234"/>
      <c r="C24" s="234"/>
      <c r="D24" s="234"/>
      <c r="E24" s="235"/>
      <c r="F24" s="236"/>
      <c r="G24" s="235"/>
      <c r="H24" s="235"/>
      <c r="I24" s="238">
        <f>ROUND(E24*F24,5)</f>
        <v>0</v>
      </c>
      <c r="J24" s="235">
        <f>E24</f>
        <v>0</v>
      </c>
      <c r="K24" s="249"/>
      <c r="L24" s="235">
        <f>G24</f>
        <v>0</v>
      </c>
      <c r="M24" s="235">
        <f>H24</f>
        <v>0</v>
      </c>
      <c r="N24" s="238">
        <f>ROUND(J24*K24,5)</f>
        <v>0</v>
      </c>
    </row>
    <row r="25" spans="1:14" s="207" customFormat="1" ht="12.75">
      <c r="A25" s="239"/>
      <c r="B25" s="234"/>
      <c r="C25" s="234"/>
      <c r="D25" s="234"/>
      <c r="E25" s="235"/>
      <c r="F25" s="236"/>
      <c r="G25" s="235"/>
      <c r="H25" s="235"/>
      <c r="I25" s="238">
        <f>ROUND(E25*F25,5)</f>
        <v>0</v>
      </c>
      <c r="J25" s="235"/>
      <c r="K25" s="249"/>
      <c r="L25" s="235"/>
      <c r="M25" s="235"/>
      <c r="N25" s="238">
        <f>ROUND(J25*K25,5)</f>
        <v>0</v>
      </c>
    </row>
    <row r="26" spans="1:14" s="207" customFormat="1" ht="12.75">
      <c r="A26" s="239"/>
      <c r="B26" s="234"/>
      <c r="C26" s="234"/>
      <c r="D26" s="234"/>
      <c r="E26" s="235"/>
      <c r="F26" s="236"/>
      <c r="G26" s="235"/>
      <c r="H26" s="235"/>
      <c r="I26" s="238">
        <f>ROUND(E26*F26,5)</f>
        <v>0</v>
      </c>
      <c r="J26" s="235"/>
      <c r="K26" s="249"/>
      <c r="L26" s="235"/>
      <c r="M26" s="235"/>
      <c r="N26" s="238">
        <f>ROUND(J26*K26,5)</f>
        <v>0</v>
      </c>
    </row>
    <row r="27" spans="1:14" s="207" customFormat="1" ht="27" customHeight="1">
      <c r="A27" s="891" t="s">
        <v>121</v>
      </c>
      <c r="B27" s="891"/>
      <c r="C27" s="891"/>
      <c r="D27" s="250"/>
      <c r="E27" s="251" t="e">
        <f>ROUND(I27/G27/F27,6)</f>
        <v>#DIV/0!</v>
      </c>
      <c r="F27" s="241"/>
      <c r="G27" s="242">
        <f>SUM(G24:G26)</f>
        <v>0</v>
      </c>
      <c r="H27" s="243">
        <f>SUM(H24:H26)</f>
        <v>0</v>
      </c>
      <c r="I27" s="252">
        <f>SUM(I24:I26)</f>
        <v>0</v>
      </c>
      <c r="J27" s="251" t="e">
        <f>ROUND(N27/L27/K27,6)</f>
        <v>#DIV/0!</v>
      </c>
      <c r="K27" s="241"/>
      <c r="L27" s="242">
        <f>SUM(L24:L26)</f>
        <v>0</v>
      </c>
      <c r="M27" s="243">
        <f>SUM(M24:M26)</f>
        <v>0</v>
      </c>
      <c r="N27" s="253">
        <f>SUM(N24:N26)</f>
        <v>0</v>
      </c>
    </row>
    <row r="28" spans="1:14" s="207" customFormat="1" ht="27" customHeight="1">
      <c r="A28" s="254"/>
      <c r="B28" s="254"/>
      <c r="C28" s="254"/>
      <c r="D28" s="255"/>
      <c r="E28" s="256"/>
      <c r="F28" s="257"/>
      <c r="G28" s="258"/>
      <c r="H28" s="259"/>
      <c r="I28" s="260"/>
      <c r="J28" s="256"/>
      <c r="K28" s="257"/>
      <c r="L28" s="258"/>
      <c r="M28" s="259"/>
      <c r="N28" s="261"/>
    </row>
    <row r="29" spans="1:16" ht="12.75">
      <c r="A29" s="220"/>
      <c r="B29" s="223" t="s">
        <v>127</v>
      </c>
      <c r="C29" s="220"/>
      <c r="D29" s="220"/>
      <c r="E29" s="221"/>
      <c r="F29" s="222"/>
      <c r="G29" s="222"/>
      <c r="H29" s="222"/>
      <c r="I29" s="222"/>
      <c r="J29" s="222"/>
      <c r="K29" s="222"/>
      <c r="L29" s="222"/>
      <c r="M29" s="222"/>
      <c r="N29" s="222"/>
      <c r="O29" s="220"/>
      <c r="P29" s="220"/>
    </row>
    <row r="30" spans="1:16" ht="12.75">
      <c r="A30" s="220"/>
      <c r="B30" s="223" t="s">
        <v>128</v>
      </c>
      <c r="C30" s="220"/>
      <c r="D30" s="220"/>
      <c r="E30" s="221"/>
      <c r="F30" s="222"/>
      <c r="G30" s="222"/>
      <c r="H30" s="222"/>
      <c r="I30" s="222"/>
      <c r="J30" s="222"/>
      <c r="K30" s="222"/>
      <c r="L30" s="222"/>
      <c r="M30" s="222"/>
      <c r="N30" s="222"/>
      <c r="O30" s="220"/>
      <c r="P30" s="220"/>
    </row>
    <row r="31" spans="1:16" ht="12.75">
      <c r="A31" s="220"/>
      <c r="B31" s="217" t="s">
        <v>104</v>
      </c>
      <c r="C31" s="220"/>
      <c r="D31" s="220"/>
      <c r="E31" s="221"/>
      <c r="F31" s="222"/>
      <c r="G31" s="222"/>
      <c r="H31" s="222"/>
      <c r="I31" s="222"/>
      <c r="J31" s="222"/>
      <c r="K31" s="222"/>
      <c r="L31" s="222"/>
      <c r="M31" s="222"/>
      <c r="N31" s="222"/>
      <c r="O31" s="220"/>
      <c r="P31" s="220"/>
    </row>
    <row r="32" spans="1:16" ht="12.75">
      <c r="A32" s="220"/>
      <c r="B32" s="220"/>
      <c r="C32" s="220"/>
      <c r="D32" s="220"/>
      <c r="E32" s="221"/>
      <c r="F32" s="222"/>
      <c r="G32" s="222"/>
      <c r="H32" s="222"/>
      <c r="I32" s="222"/>
      <c r="J32" s="222"/>
      <c r="K32" s="222"/>
      <c r="L32" s="222"/>
      <c r="M32" s="222"/>
      <c r="N32" s="222"/>
      <c r="O32" s="220"/>
      <c r="P32" s="220"/>
    </row>
    <row r="33" spans="1:14" s="224" customFormat="1" ht="20.25" customHeight="1">
      <c r="A33" s="889" t="s">
        <v>105</v>
      </c>
      <c r="B33" s="889" t="s">
        <v>106</v>
      </c>
      <c r="C33" s="889" t="s">
        <v>107</v>
      </c>
      <c r="D33" s="889" t="s">
        <v>108</v>
      </c>
      <c r="E33" s="890" t="s">
        <v>129</v>
      </c>
      <c r="F33" s="890"/>
      <c r="G33" s="890"/>
      <c r="H33" s="890"/>
      <c r="I33" s="890"/>
      <c r="J33" s="892" t="s">
        <v>434</v>
      </c>
      <c r="K33" s="892"/>
      <c r="L33" s="892"/>
      <c r="M33" s="892"/>
      <c r="N33" s="892"/>
    </row>
    <row r="34" spans="1:14" s="227" customFormat="1" ht="67.5">
      <c r="A34" s="889"/>
      <c r="B34" s="889"/>
      <c r="C34" s="889"/>
      <c r="D34" s="889"/>
      <c r="E34" s="225" t="s">
        <v>110</v>
      </c>
      <c r="F34" s="225" t="s">
        <v>111</v>
      </c>
      <c r="G34" s="225" t="s">
        <v>112</v>
      </c>
      <c r="H34" s="225" t="s">
        <v>113</v>
      </c>
      <c r="I34" s="226" t="s">
        <v>114</v>
      </c>
      <c r="J34" s="226" t="s">
        <v>115</v>
      </c>
      <c r="K34" s="226" t="s">
        <v>111</v>
      </c>
      <c r="L34" s="225" t="s">
        <v>112</v>
      </c>
      <c r="M34" s="226" t="s">
        <v>113</v>
      </c>
      <c r="N34" s="226" t="s">
        <v>114</v>
      </c>
    </row>
    <row r="35" spans="1:14" s="229" customFormat="1" ht="12.75">
      <c r="A35" s="889"/>
      <c r="B35" s="889"/>
      <c r="C35" s="889"/>
      <c r="D35" s="889"/>
      <c r="E35" s="228" t="s">
        <v>116</v>
      </c>
      <c r="F35" s="228" t="s">
        <v>117</v>
      </c>
      <c r="G35" s="228" t="s">
        <v>118</v>
      </c>
      <c r="H35" s="228" t="s">
        <v>35</v>
      </c>
      <c r="I35" s="225" t="s">
        <v>42</v>
      </c>
      <c r="J35" s="228" t="s">
        <v>116</v>
      </c>
      <c r="K35" s="228" t="s">
        <v>117</v>
      </c>
      <c r="L35" s="228" t="s">
        <v>118</v>
      </c>
      <c r="M35" s="228" t="s">
        <v>35</v>
      </c>
      <c r="N35" s="225" t="s">
        <v>42</v>
      </c>
    </row>
    <row r="36" spans="1:14" s="232" customFormat="1" ht="12" customHeight="1">
      <c r="A36" s="230">
        <v>1</v>
      </c>
      <c r="B36" s="231">
        <f aca="true" t="shared" si="3" ref="B36:N36">A36+1</f>
        <v>2</v>
      </c>
      <c r="C36" s="231">
        <f t="shared" si="3"/>
        <v>3</v>
      </c>
      <c r="D36" s="231">
        <f t="shared" si="3"/>
        <v>4</v>
      </c>
      <c r="E36" s="231">
        <f t="shared" si="3"/>
        <v>5</v>
      </c>
      <c r="F36" s="231">
        <f t="shared" si="3"/>
        <v>6</v>
      </c>
      <c r="G36" s="231">
        <f t="shared" si="3"/>
        <v>7</v>
      </c>
      <c r="H36" s="231">
        <f t="shared" si="3"/>
        <v>8</v>
      </c>
      <c r="I36" s="231">
        <f t="shared" si="3"/>
        <v>9</v>
      </c>
      <c r="J36" s="231">
        <f t="shared" si="3"/>
        <v>10</v>
      </c>
      <c r="K36" s="231">
        <f t="shared" si="3"/>
        <v>11</v>
      </c>
      <c r="L36" s="231">
        <f t="shared" si="3"/>
        <v>12</v>
      </c>
      <c r="M36" s="231">
        <f t="shared" si="3"/>
        <v>13</v>
      </c>
      <c r="N36" s="231">
        <f t="shared" si="3"/>
        <v>14</v>
      </c>
    </row>
    <row r="37" spans="1:16" ht="12.75">
      <c r="A37" s="233">
        <v>1</v>
      </c>
      <c r="B37" s="234" t="s">
        <v>119</v>
      </c>
      <c r="C37" s="234" t="s">
        <v>120</v>
      </c>
      <c r="D37" s="816">
        <v>6</v>
      </c>
      <c r="E37" s="235">
        <v>0.0461</v>
      </c>
      <c r="F37" s="236">
        <v>1</v>
      </c>
      <c r="G37" s="237">
        <f aca="true" t="shared" si="4" ref="G37:H39">G13</f>
        <v>3.16489</v>
      </c>
      <c r="H37" s="236">
        <f t="shared" si="4"/>
        <v>156</v>
      </c>
      <c r="I37" s="238">
        <f>ROUND(E37*F37*G37,5)</f>
        <v>0.1459</v>
      </c>
      <c r="J37" s="235"/>
      <c r="K37" s="236"/>
      <c r="L37" s="237"/>
      <c r="M37" s="236"/>
      <c r="N37" s="238">
        <f>ROUND(J37*K37*L37,5)</f>
        <v>0</v>
      </c>
      <c r="O37"/>
      <c r="P37"/>
    </row>
    <row r="38" spans="1:14" s="208" customFormat="1" ht="12.75">
      <c r="A38" s="239"/>
      <c r="B38" s="234"/>
      <c r="C38" s="234"/>
      <c r="D38" s="816">
        <v>1</v>
      </c>
      <c r="E38" s="235">
        <f>E14</f>
        <v>0.052</v>
      </c>
      <c r="F38" s="236">
        <v>1</v>
      </c>
      <c r="G38" s="237">
        <f t="shared" si="4"/>
        <v>0.95818</v>
      </c>
      <c r="H38" s="236">
        <f t="shared" si="4"/>
        <v>35</v>
      </c>
      <c r="I38" s="238">
        <f>ROUND(E38*F38*G38,5)</f>
        <v>0.04983</v>
      </c>
      <c r="J38" s="235"/>
      <c r="K38" s="236"/>
      <c r="L38" s="237"/>
      <c r="M38" s="236"/>
      <c r="N38" s="238">
        <f>ROUND(J38*K38*L38,5)</f>
        <v>0</v>
      </c>
    </row>
    <row r="39" spans="1:14" s="208" customFormat="1" ht="12.75">
      <c r="A39" s="239"/>
      <c r="B39" s="234"/>
      <c r="C39" s="234"/>
      <c r="D39" s="816">
        <v>4</v>
      </c>
      <c r="E39" s="235">
        <v>0.0456</v>
      </c>
      <c r="F39" s="236">
        <v>1</v>
      </c>
      <c r="G39" s="237">
        <f t="shared" si="4"/>
        <v>0.46809</v>
      </c>
      <c r="H39" s="236">
        <f t="shared" si="4"/>
        <v>16</v>
      </c>
      <c r="I39" s="238">
        <f>ROUND(E39*F39*G39,5)</f>
        <v>0.02134</v>
      </c>
      <c r="J39" s="235"/>
      <c r="K39" s="236"/>
      <c r="L39" s="237"/>
      <c r="M39" s="236"/>
      <c r="N39" s="238">
        <f>ROUND(J39*K39*L39,5)</f>
        <v>0</v>
      </c>
    </row>
    <row r="40" spans="1:14" s="245" customFormat="1" ht="23.25" customHeight="1">
      <c r="A40" s="891" t="s">
        <v>121</v>
      </c>
      <c r="B40" s="891"/>
      <c r="C40" s="891"/>
      <c r="D40" s="817">
        <v>11</v>
      </c>
      <c r="E40" s="240">
        <f>ROUND(I40/G40/F40,8)</f>
        <v>0.04727999</v>
      </c>
      <c r="F40" s="241">
        <v>1</v>
      </c>
      <c r="G40" s="242">
        <f>SUM(G37:G39)</f>
        <v>4.59116</v>
      </c>
      <c r="H40" s="243">
        <f>SUM(H37:H39)</f>
        <v>207</v>
      </c>
      <c r="I40" s="244">
        <f>SUM(I37:I39)</f>
        <v>0.21707</v>
      </c>
      <c r="J40" s="251" t="e">
        <f>ROUND(N40/L40/K40,6)</f>
        <v>#DIV/0!</v>
      </c>
      <c r="K40" s="241"/>
      <c r="L40" s="242">
        <f>SUM(L37:L39)</f>
        <v>0</v>
      </c>
      <c r="M40" s="243">
        <f>SUM(M37:M39)</f>
        <v>0</v>
      </c>
      <c r="N40" s="253">
        <f>SUM(N37:N39)</f>
        <v>0</v>
      </c>
    </row>
    <row r="41" spans="1:4" s="207" customFormat="1" ht="12.75">
      <c r="A41" s="246"/>
      <c r="B41" s="246"/>
      <c r="C41" s="208"/>
      <c r="D41" s="208"/>
    </row>
    <row r="42" spans="1:4" s="207" customFormat="1" ht="12.75">
      <c r="A42" s="246"/>
      <c r="B42" s="247" t="s">
        <v>122</v>
      </c>
      <c r="C42" s="208"/>
      <c r="D42" s="208"/>
    </row>
    <row r="43" spans="1:4" s="207" customFormat="1" ht="12.75">
      <c r="A43" s="246"/>
      <c r="B43" s="246"/>
      <c r="C43" s="208"/>
      <c r="D43" s="208"/>
    </row>
    <row r="44" spans="1:14" s="207" customFormat="1" ht="22.5" customHeight="1">
      <c r="A44" s="889" t="s">
        <v>105</v>
      </c>
      <c r="B44" s="889" t="s">
        <v>106</v>
      </c>
      <c r="C44" s="889" t="s">
        <v>107</v>
      </c>
      <c r="D44" s="889" t="s">
        <v>108</v>
      </c>
      <c r="E44" s="890" t="s">
        <v>129</v>
      </c>
      <c r="F44" s="890"/>
      <c r="G44" s="890"/>
      <c r="H44" s="890"/>
      <c r="I44" s="890"/>
      <c r="J44" s="892" t="s">
        <v>434</v>
      </c>
      <c r="K44" s="892"/>
      <c r="L44" s="892"/>
      <c r="M44" s="892"/>
      <c r="N44" s="892"/>
    </row>
    <row r="45" spans="1:14" s="207" customFormat="1" ht="81.75" customHeight="1">
      <c r="A45" s="889"/>
      <c r="B45" s="889"/>
      <c r="C45" s="889"/>
      <c r="D45" s="889"/>
      <c r="E45" s="248" t="s">
        <v>123</v>
      </c>
      <c r="F45" s="225" t="s">
        <v>124</v>
      </c>
      <c r="G45" s="225" t="s">
        <v>112</v>
      </c>
      <c r="H45" s="225" t="s">
        <v>113</v>
      </c>
      <c r="I45" s="226" t="s">
        <v>114</v>
      </c>
      <c r="J45" s="225" t="s">
        <v>125</v>
      </c>
      <c r="K45" s="226" t="s">
        <v>111</v>
      </c>
      <c r="L45" s="225" t="s">
        <v>112</v>
      </c>
      <c r="M45" s="226" t="s">
        <v>113</v>
      </c>
      <c r="N45" s="226" t="s">
        <v>114</v>
      </c>
    </row>
    <row r="46" spans="1:14" s="207" customFormat="1" ht="12.75">
      <c r="A46" s="889"/>
      <c r="B46" s="889"/>
      <c r="C46" s="889"/>
      <c r="D46" s="889"/>
      <c r="E46" s="228" t="s">
        <v>126</v>
      </c>
      <c r="F46" s="228" t="s">
        <v>117</v>
      </c>
      <c r="G46" s="228" t="s">
        <v>118</v>
      </c>
      <c r="H46" s="228" t="s">
        <v>35</v>
      </c>
      <c r="I46" s="225" t="s">
        <v>42</v>
      </c>
      <c r="J46" s="228" t="s">
        <v>126</v>
      </c>
      <c r="K46" s="228" t="s">
        <v>117</v>
      </c>
      <c r="L46" s="228" t="s">
        <v>118</v>
      </c>
      <c r="M46" s="228" t="s">
        <v>35</v>
      </c>
      <c r="N46" s="225" t="s">
        <v>42</v>
      </c>
    </row>
    <row r="47" spans="1:14" s="207" customFormat="1" ht="12.75">
      <c r="A47" s="230">
        <v>1</v>
      </c>
      <c r="B47" s="231">
        <f aca="true" t="shared" si="5" ref="B47:N47">A47+1</f>
        <v>2</v>
      </c>
      <c r="C47" s="231">
        <f t="shared" si="5"/>
        <v>3</v>
      </c>
      <c r="D47" s="231">
        <f t="shared" si="5"/>
        <v>4</v>
      </c>
      <c r="E47" s="231">
        <f t="shared" si="5"/>
        <v>5</v>
      </c>
      <c r="F47" s="231">
        <f t="shared" si="5"/>
        <v>6</v>
      </c>
      <c r="G47" s="231">
        <f t="shared" si="5"/>
        <v>7</v>
      </c>
      <c r="H47" s="231">
        <f t="shared" si="5"/>
        <v>8</v>
      </c>
      <c r="I47" s="231">
        <f t="shared" si="5"/>
        <v>9</v>
      </c>
      <c r="J47" s="231">
        <f t="shared" si="5"/>
        <v>10</v>
      </c>
      <c r="K47" s="231">
        <f t="shared" si="5"/>
        <v>11</v>
      </c>
      <c r="L47" s="231">
        <f t="shared" si="5"/>
        <v>12</v>
      </c>
      <c r="M47" s="231">
        <f t="shared" si="5"/>
        <v>13</v>
      </c>
      <c r="N47" s="231">
        <f t="shared" si="5"/>
        <v>14</v>
      </c>
    </row>
    <row r="48" spans="1:14" s="207" customFormat="1" ht="12.75">
      <c r="A48" s="233"/>
      <c r="B48" s="234"/>
      <c r="C48" s="234"/>
      <c r="D48" s="234"/>
      <c r="E48" s="235"/>
      <c r="F48" s="236"/>
      <c r="G48" s="235"/>
      <c r="H48" s="235"/>
      <c r="I48" s="238">
        <f>ROUND(E48*F48,5)</f>
        <v>0</v>
      </c>
      <c r="J48" s="235">
        <f>E48</f>
        <v>0</v>
      </c>
      <c r="K48" s="249"/>
      <c r="L48" s="235">
        <f>G48</f>
        <v>0</v>
      </c>
      <c r="M48" s="235">
        <f>H48</f>
        <v>0</v>
      </c>
      <c r="N48" s="238">
        <f>ROUND(J48*K48,5)</f>
        <v>0</v>
      </c>
    </row>
    <row r="49" spans="1:14" s="207" customFormat="1" ht="12.75">
      <c r="A49" s="239"/>
      <c r="B49" s="234"/>
      <c r="C49" s="234"/>
      <c r="D49" s="234"/>
      <c r="E49" s="235"/>
      <c r="F49" s="236"/>
      <c r="G49" s="235"/>
      <c r="H49" s="235"/>
      <c r="I49" s="238">
        <f>ROUND(E49*F49,5)</f>
        <v>0</v>
      </c>
      <c r="J49" s="235"/>
      <c r="K49" s="249"/>
      <c r="L49" s="235"/>
      <c r="M49" s="235"/>
      <c r="N49" s="238">
        <f>ROUND(J49*K49,5)</f>
        <v>0</v>
      </c>
    </row>
    <row r="50" spans="1:14" s="207" customFormat="1" ht="12.75">
      <c r="A50" s="239"/>
      <c r="B50" s="234"/>
      <c r="C50" s="234"/>
      <c r="D50" s="234"/>
      <c r="E50" s="235"/>
      <c r="F50" s="236"/>
      <c r="G50" s="235"/>
      <c r="H50" s="235"/>
      <c r="I50" s="238">
        <f>ROUND(E50*F50,5)</f>
        <v>0</v>
      </c>
      <c r="J50" s="235"/>
      <c r="K50" s="249"/>
      <c r="L50" s="235"/>
      <c r="M50" s="235"/>
      <c r="N50" s="238">
        <f>ROUND(J50*K50,5)</f>
        <v>0</v>
      </c>
    </row>
    <row r="51" spans="1:14" s="207" customFormat="1" ht="27" customHeight="1">
      <c r="A51" s="891" t="s">
        <v>121</v>
      </c>
      <c r="B51" s="891"/>
      <c r="C51" s="891"/>
      <c r="D51" s="250"/>
      <c r="E51" s="251" t="e">
        <f>ROUND(I51/G51/F51,6)</f>
        <v>#DIV/0!</v>
      </c>
      <c r="F51" s="241"/>
      <c r="G51" s="242">
        <f>SUM(G48:G50)</f>
        <v>0</v>
      </c>
      <c r="H51" s="243">
        <f>SUM(H48:H50)</f>
        <v>0</v>
      </c>
      <c r="I51" s="252">
        <f>SUM(I48:I50)</f>
        <v>0</v>
      </c>
      <c r="J51" s="251" t="e">
        <f>ROUND(N51/L51/K51,6)</f>
        <v>#DIV/0!</v>
      </c>
      <c r="K51" s="241"/>
      <c r="L51" s="242">
        <f>SUM(L48:L50)</f>
        <v>0</v>
      </c>
      <c r="M51" s="243">
        <f>SUM(M48:M50)</f>
        <v>0</v>
      </c>
      <c r="N51" s="253">
        <f>SUM(N48:N50)</f>
        <v>0</v>
      </c>
    </row>
    <row r="52" spans="1:14" s="207" customFormat="1" ht="27" customHeight="1">
      <c r="A52" s="254"/>
      <c r="B52" s="254"/>
      <c r="C52" s="254"/>
      <c r="D52" s="255"/>
      <c r="E52" s="256"/>
      <c r="F52" s="257"/>
      <c r="G52" s="258"/>
      <c r="H52" s="259"/>
      <c r="I52" s="260"/>
      <c r="J52" s="256"/>
      <c r="K52" s="257"/>
      <c r="L52" s="258"/>
      <c r="M52" s="259"/>
      <c r="N52" s="261"/>
    </row>
    <row r="53" spans="1:4" s="207" customFormat="1" ht="12.75">
      <c r="A53" s="246"/>
      <c r="B53" s="262" t="s">
        <v>130</v>
      </c>
      <c r="C53" s="208"/>
      <c r="D53" s="208"/>
    </row>
    <row r="54" spans="1:4" s="207" customFormat="1" ht="12.75">
      <c r="A54" s="246"/>
      <c r="B54" s="262" t="s">
        <v>128</v>
      </c>
      <c r="C54" s="208"/>
      <c r="D54" s="208"/>
    </row>
    <row r="55" spans="1:16" ht="12.75">
      <c r="A55" s="220"/>
      <c r="B55" s="217" t="s">
        <v>104</v>
      </c>
      <c r="C55" s="220"/>
      <c r="D55" s="220"/>
      <c r="E55" s="221"/>
      <c r="F55" s="222"/>
      <c r="G55" s="222"/>
      <c r="H55" s="222"/>
      <c r="I55" s="222"/>
      <c r="J55" s="222"/>
      <c r="K55" s="222"/>
      <c r="L55" s="222"/>
      <c r="M55" s="222"/>
      <c r="N55" s="222"/>
      <c r="O55" s="220"/>
      <c r="P55" s="220"/>
    </row>
    <row r="56" spans="1:16" ht="12.75">
      <c r="A56" s="220"/>
      <c r="B56" s="220"/>
      <c r="C56" s="220"/>
      <c r="D56" s="220"/>
      <c r="E56" s="221"/>
      <c r="F56" s="222"/>
      <c r="G56" s="222"/>
      <c r="H56" s="222"/>
      <c r="I56" s="222"/>
      <c r="J56" s="222"/>
      <c r="K56" s="222"/>
      <c r="L56" s="222"/>
      <c r="M56" s="222"/>
      <c r="N56" s="222"/>
      <c r="O56" s="220"/>
      <c r="P56" s="220"/>
    </row>
    <row r="57" spans="1:14" s="224" customFormat="1" ht="20.25" customHeight="1">
      <c r="A57" s="889" t="s">
        <v>105</v>
      </c>
      <c r="B57" s="889" t="s">
        <v>106</v>
      </c>
      <c r="C57" s="889" t="s">
        <v>107</v>
      </c>
      <c r="D57" s="889" t="s">
        <v>108</v>
      </c>
      <c r="E57" s="890" t="s">
        <v>131</v>
      </c>
      <c r="F57" s="890"/>
      <c r="G57" s="890"/>
      <c r="H57" s="890"/>
      <c r="I57" s="890"/>
      <c r="J57" s="888" t="s">
        <v>435</v>
      </c>
      <c r="K57" s="888"/>
      <c r="L57" s="888"/>
      <c r="M57" s="888"/>
      <c r="N57" s="888"/>
    </row>
    <row r="58" spans="1:14" s="227" customFormat="1" ht="67.5">
      <c r="A58" s="889"/>
      <c r="B58" s="889"/>
      <c r="C58" s="889"/>
      <c r="D58" s="889"/>
      <c r="E58" s="225" t="s">
        <v>110</v>
      </c>
      <c r="F58" s="225" t="s">
        <v>111</v>
      </c>
      <c r="G58" s="225" t="s">
        <v>112</v>
      </c>
      <c r="H58" s="225" t="s">
        <v>113</v>
      </c>
      <c r="I58" s="226" t="s">
        <v>114</v>
      </c>
      <c r="J58" s="226" t="s">
        <v>115</v>
      </c>
      <c r="K58" s="226" t="s">
        <v>111</v>
      </c>
      <c r="L58" s="225" t="s">
        <v>112</v>
      </c>
      <c r="M58" s="226" t="s">
        <v>113</v>
      </c>
      <c r="N58" s="226" t="s">
        <v>114</v>
      </c>
    </row>
    <row r="59" spans="1:14" s="229" customFormat="1" ht="12.75">
      <c r="A59" s="889"/>
      <c r="B59" s="889"/>
      <c r="C59" s="889"/>
      <c r="D59" s="889"/>
      <c r="E59" s="228" t="s">
        <v>116</v>
      </c>
      <c r="F59" s="228" t="s">
        <v>117</v>
      </c>
      <c r="G59" s="228" t="s">
        <v>118</v>
      </c>
      <c r="H59" s="228" t="s">
        <v>35</v>
      </c>
      <c r="I59" s="225" t="s">
        <v>42</v>
      </c>
      <c r="J59" s="228" t="s">
        <v>116</v>
      </c>
      <c r="K59" s="228" t="s">
        <v>117</v>
      </c>
      <c r="L59" s="228" t="s">
        <v>118</v>
      </c>
      <c r="M59" s="228" t="s">
        <v>35</v>
      </c>
      <c r="N59" s="225" t="s">
        <v>42</v>
      </c>
    </row>
    <row r="60" spans="1:14" s="232" customFormat="1" ht="12" customHeight="1">
      <c r="A60" s="230">
        <v>1</v>
      </c>
      <c r="B60" s="231">
        <f aca="true" t="shared" si="6" ref="B60:N60">A60+1</f>
        <v>2</v>
      </c>
      <c r="C60" s="231">
        <f t="shared" si="6"/>
        <v>3</v>
      </c>
      <c r="D60" s="231">
        <f t="shared" si="6"/>
        <v>4</v>
      </c>
      <c r="E60" s="231">
        <f t="shared" si="6"/>
        <v>5</v>
      </c>
      <c r="F60" s="231">
        <f t="shared" si="6"/>
        <v>6</v>
      </c>
      <c r="G60" s="231">
        <f t="shared" si="6"/>
        <v>7</v>
      </c>
      <c r="H60" s="231">
        <f t="shared" si="6"/>
        <v>8</v>
      </c>
      <c r="I60" s="231">
        <f t="shared" si="6"/>
        <v>9</v>
      </c>
      <c r="J60" s="231">
        <f t="shared" si="6"/>
        <v>10</v>
      </c>
      <c r="K60" s="231">
        <f t="shared" si="6"/>
        <v>11</v>
      </c>
      <c r="L60" s="231">
        <f t="shared" si="6"/>
        <v>12</v>
      </c>
      <c r="M60" s="231">
        <f t="shared" si="6"/>
        <v>13</v>
      </c>
      <c r="N60" s="231">
        <f t="shared" si="6"/>
        <v>14</v>
      </c>
    </row>
    <row r="61" spans="1:16" ht="12.75">
      <c r="A61" s="233">
        <v>1</v>
      </c>
      <c r="B61" s="234" t="s">
        <v>119</v>
      </c>
      <c r="C61" s="234" t="s">
        <v>120</v>
      </c>
      <c r="D61" s="233">
        <v>6</v>
      </c>
      <c r="E61" s="235">
        <v>0.0461</v>
      </c>
      <c r="F61" s="236">
        <v>2</v>
      </c>
      <c r="G61" s="237">
        <f aca="true" t="shared" si="7" ref="G61:H63">G37</f>
        <v>3.16489</v>
      </c>
      <c r="H61" s="236">
        <f t="shared" si="7"/>
        <v>156</v>
      </c>
      <c r="I61" s="238">
        <f>ROUND(E61*F61*G61,5)</f>
        <v>0.2918</v>
      </c>
      <c r="J61" s="235"/>
      <c r="K61" s="236"/>
      <c r="L61" s="237"/>
      <c r="M61" s="236"/>
      <c r="N61" s="238">
        <f>ROUND(J61*K61*L61,5)</f>
        <v>0</v>
      </c>
      <c r="O61"/>
      <c r="P61"/>
    </row>
    <row r="62" spans="1:14" s="208" customFormat="1" ht="12.75">
      <c r="A62" s="239"/>
      <c r="B62" s="234"/>
      <c r="C62" s="234"/>
      <c r="D62" s="233">
        <v>1</v>
      </c>
      <c r="E62" s="235">
        <f>E38</f>
        <v>0.052</v>
      </c>
      <c r="F62" s="236">
        <v>2</v>
      </c>
      <c r="G62" s="237">
        <f t="shared" si="7"/>
        <v>0.95818</v>
      </c>
      <c r="H62" s="236">
        <f t="shared" si="7"/>
        <v>35</v>
      </c>
      <c r="I62" s="238">
        <f>ROUND(E62*F62*G62,5)</f>
        <v>0.09965</v>
      </c>
      <c r="J62" s="235"/>
      <c r="K62" s="236"/>
      <c r="L62" s="237"/>
      <c r="M62" s="236"/>
      <c r="N62" s="238">
        <f>ROUND(J62*K62*L62,5)</f>
        <v>0</v>
      </c>
    </row>
    <row r="63" spans="1:14" s="208" customFormat="1" ht="12.75">
      <c r="A63" s="239"/>
      <c r="B63" s="234"/>
      <c r="C63" s="234"/>
      <c r="D63" s="233">
        <v>4</v>
      </c>
      <c r="E63" s="235">
        <v>0.0456</v>
      </c>
      <c r="F63" s="236">
        <v>2</v>
      </c>
      <c r="G63" s="237">
        <f t="shared" si="7"/>
        <v>0.46809</v>
      </c>
      <c r="H63" s="236">
        <f t="shared" si="7"/>
        <v>16</v>
      </c>
      <c r="I63" s="238">
        <f>ROUND(E63*F63*G63,5)</f>
        <v>0.04269</v>
      </c>
      <c r="J63" s="235"/>
      <c r="K63" s="236"/>
      <c r="L63" s="237"/>
      <c r="M63" s="236"/>
      <c r="N63" s="238">
        <f>ROUND(J63*K63*L63,5)</f>
        <v>0</v>
      </c>
    </row>
    <row r="64" spans="1:14" s="245" customFormat="1" ht="23.25" customHeight="1">
      <c r="A64" s="891" t="s">
        <v>121</v>
      </c>
      <c r="B64" s="891"/>
      <c r="C64" s="891"/>
      <c r="D64" s="817">
        <v>11</v>
      </c>
      <c r="E64" s="240">
        <f>ROUND(I64/G64/F64,8)</f>
        <v>0.04727999</v>
      </c>
      <c r="F64" s="241">
        <v>2</v>
      </c>
      <c r="G64" s="242">
        <f>SUM(G61:G63)</f>
        <v>4.59116</v>
      </c>
      <c r="H64" s="243">
        <f>SUM(H61:H63)</f>
        <v>207</v>
      </c>
      <c r="I64" s="244">
        <f>SUM(I61:I63)</f>
        <v>0.43414</v>
      </c>
      <c r="J64" s="251" t="e">
        <f>ROUND(N64/L64/K64,6)</f>
        <v>#DIV/0!</v>
      </c>
      <c r="K64" s="241">
        <v>2</v>
      </c>
      <c r="L64" s="242">
        <f>SUM(L61:L63)</f>
        <v>0</v>
      </c>
      <c r="M64" s="243">
        <f>SUM(M61:M63)</f>
        <v>0</v>
      </c>
      <c r="N64" s="253">
        <f>SUM(N61:N63)</f>
        <v>0</v>
      </c>
    </row>
    <row r="65" spans="1:4" s="207" customFormat="1" ht="12.75">
      <c r="A65" s="246"/>
      <c r="B65" s="246"/>
      <c r="C65" s="208"/>
      <c r="D65" s="208"/>
    </row>
    <row r="66" spans="1:4" s="207" customFormat="1" ht="12.75">
      <c r="A66" s="246"/>
      <c r="B66" s="247" t="s">
        <v>122</v>
      </c>
      <c r="C66" s="208"/>
      <c r="D66" s="208"/>
    </row>
    <row r="67" spans="1:4" s="207" customFormat="1" ht="12.75">
      <c r="A67" s="246"/>
      <c r="B67" s="246"/>
      <c r="C67" s="208"/>
      <c r="D67" s="208"/>
    </row>
    <row r="68" spans="1:14" s="207" customFormat="1" ht="18.75" customHeight="1">
      <c r="A68" s="889" t="s">
        <v>105</v>
      </c>
      <c r="B68" s="889" t="s">
        <v>106</v>
      </c>
      <c r="C68" s="889" t="s">
        <v>107</v>
      </c>
      <c r="D68" s="889" t="s">
        <v>108</v>
      </c>
      <c r="E68" s="890" t="s">
        <v>131</v>
      </c>
      <c r="F68" s="890"/>
      <c r="G68" s="890"/>
      <c r="H68" s="890"/>
      <c r="I68" s="890"/>
      <c r="J68" s="888" t="s">
        <v>435</v>
      </c>
      <c r="K68" s="888"/>
      <c r="L68" s="888"/>
      <c r="M68" s="888"/>
      <c r="N68" s="888"/>
    </row>
    <row r="69" spans="1:14" s="207" customFormat="1" ht="81.75" customHeight="1">
      <c r="A69" s="889"/>
      <c r="B69" s="889"/>
      <c r="C69" s="889"/>
      <c r="D69" s="889"/>
      <c r="E69" s="248" t="s">
        <v>123</v>
      </c>
      <c r="F69" s="225" t="s">
        <v>124</v>
      </c>
      <c r="G69" s="225" t="s">
        <v>112</v>
      </c>
      <c r="H69" s="225" t="s">
        <v>113</v>
      </c>
      <c r="I69" s="226" t="s">
        <v>114</v>
      </c>
      <c r="J69" s="225" t="s">
        <v>125</v>
      </c>
      <c r="K69" s="226" t="s">
        <v>111</v>
      </c>
      <c r="L69" s="225" t="s">
        <v>112</v>
      </c>
      <c r="M69" s="226" t="s">
        <v>113</v>
      </c>
      <c r="N69" s="226" t="s">
        <v>114</v>
      </c>
    </row>
    <row r="70" spans="1:14" s="207" customFormat="1" ht="12.75">
      <c r="A70" s="889"/>
      <c r="B70" s="889"/>
      <c r="C70" s="889"/>
      <c r="D70" s="889"/>
      <c r="E70" s="228" t="s">
        <v>126</v>
      </c>
      <c r="F70" s="228" t="s">
        <v>117</v>
      </c>
      <c r="G70" s="228" t="s">
        <v>118</v>
      </c>
      <c r="H70" s="228" t="s">
        <v>35</v>
      </c>
      <c r="I70" s="225" t="s">
        <v>42</v>
      </c>
      <c r="J70" s="228" t="s">
        <v>126</v>
      </c>
      <c r="K70" s="228" t="s">
        <v>117</v>
      </c>
      <c r="L70" s="228" t="s">
        <v>118</v>
      </c>
      <c r="M70" s="228" t="s">
        <v>35</v>
      </c>
      <c r="N70" s="225" t="s">
        <v>42</v>
      </c>
    </row>
    <row r="71" spans="1:14" s="207" customFormat="1" ht="12.75">
      <c r="A71" s="230">
        <v>1</v>
      </c>
      <c r="B71" s="231">
        <f aca="true" t="shared" si="8" ref="B71:N71">A71+1</f>
        <v>2</v>
      </c>
      <c r="C71" s="231">
        <f t="shared" si="8"/>
        <v>3</v>
      </c>
      <c r="D71" s="231">
        <f t="shared" si="8"/>
        <v>4</v>
      </c>
      <c r="E71" s="231">
        <f t="shared" si="8"/>
        <v>5</v>
      </c>
      <c r="F71" s="231">
        <f t="shared" si="8"/>
        <v>6</v>
      </c>
      <c r="G71" s="231">
        <f t="shared" si="8"/>
        <v>7</v>
      </c>
      <c r="H71" s="231">
        <f t="shared" si="8"/>
        <v>8</v>
      </c>
      <c r="I71" s="231">
        <f t="shared" si="8"/>
        <v>9</v>
      </c>
      <c r="J71" s="231">
        <f t="shared" si="8"/>
        <v>10</v>
      </c>
      <c r="K71" s="231">
        <f t="shared" si="8"/>
        <v>11</v>
      </c>
      <c r="L71" s="231">
        <f t="shared" si="8"/>
        <v>12</v>
      </c>
      <c r="M71" s="231">
        <f t="shared" si="8"/>
        <v>13</v>
      </c>
      <c r="N71" s="231">
        <f t="shared" si="8"/>
        <v>14</v>
      </c>
    </row>
    <row r="72" spans="1:14" s="207" customFormat="1" ht="12.75">
      <c r="A72" s="233"/>
      <c r="B72" s="234"/>
      <c r="C72" s="234"/>
      <c r="D72" s="234"/>
      <c r="E72" s="235"/>
      <c r="F72" s="236"/>
      <c r="G72" s="235"/>
      <c r="H72" s="235"/>
      <c r="I72" s="238">
        <f>ROUND(E72*F72,5)</f>
        <v>0</v>
      </c>
      <c r="J72" s="235"/>
      <c r="K72" s="249"/>
      <c r="L72" s="235">
        <f>G72</f>
        <v>0</v>
      </c>
      <c r="M72" s="235">
        <f>H72</f>
        <v>0</v>
      </c>
      <c r="N72" s="238">
        <f>ROUND(J72*K72,5)</f>
        <v>0</v>
      </c>
    </row>
    <row r="73" spans="1:14" s="207" customFormat="1" ht="12.75">
      <c r="A73" s="239"/>
      <c r="B73" s="234"/>
      <c r="C73" s="234"/>
      <c r="D73" s="234"/>
      <c r="E73" s="235"/>
      <c r="F73" s="236"/>
      <c r="G73" s="235"/>
      <c r="H73" s="235"/>
      <c r="I73" s="238">
        <f>ROUND(E73*F73,5)</f>
        <v>0</v>
      </c>
      <c r="J73" s="235"/>
      <c r="K73" s="249"/>
      <c r="L73" s="235"/>
      <c r="M73" s="235"/>
      <c r="N73" s="238">
        <f>ROUND(J73*K73,5)</f>
        <v>0</v>
      </c>
    </row>
    <row r="74" spans="1:14" s="207" customFormat="1" ht="12.75">
      <c r="A74" s="239"/>
      <c r="B74" s="234"/>
      <c r="C74" s="234"/>
      <c r="D74" s="234"/>
      <c r="E74" s="235"/>
      <c r="F74" s="236"/>
      <c r="G74" s="235"/>
      <c r="H74" s="235"/>
      <c r="I74" s="238">
        <f>ROUND(E74*F74,5)</f>
        <v>0</v>
      </c>
      <c r="J74" s="235"/>
      <c r="K74" s="249"/>
      <c r="L74" s="235"/>
      <c r="M74" s="235"/>
      <c r="N74" s="238">
        <f>ROUND(J74*K74,5)</f>
        <v>0</v>
      </c>
    </row>
    <row r="75" spans="1:14" s="207" customFormat="1" ht="27" customHeight="1">
      <c r="A75" s="891" t="s">
        <v>121</v>
      </c>
      <c r="B75" s="891"/>
      <c r="C75" s="891"/>
      <c r="D75" s="250"/>
      <c r="E75" s="251" t="e">
        <f>ROUND(I75/G75/F75,6)</f>
        <v>#DIV/0!</v>
      </c>
      <c r="F75" s="241"/>
      <c r="G75" s="242">
        <f>SUM(G72:G74)</f>
        <v>0</v>
      </c>
      <c r="H75" s="243">
        <f>SUM(H72:H74)</f>
        <v>0</v>
      </c>
      <c r="I75" s="252">
        <f>SUM(I72:I74)</f>
        <v>0</v>
      </c>
      <c r="J75" s="251" t="e">
        <f>ROUND(N75/L75/K75,6)</f>
        <v>#DIV/0!</v>
      </c>
      <c r="K75" s="241"/>
      <c r="L75" s="242">
        <f>SUM(L72:L74)</f>
        <v>0</v>
      </c>
      <c r="M75" s="243">
        <f>SUM(M72:M74)</f>
        <v>0</v>
      </c>
      <c r="N75" s="253">
        <f>SUM(N72:N74)</f>
        <v>0</v>
      </c>
    </row>
    <row r="77" spans="1:4" s="207" customFormat="1" ht="12.75">
      <c r="A77" s="246"/>
      <c r="B77" s="262" t="s">
        <v>130</v>
      </c>
      <c r="C77" s="208"/>
      <c r="D77" s="208"/>
    </row>
    <row r="78" spans="2:15" s="208" customFormat="1" ht="12.75">
      <c r="B78" s="263" t="s">
        <v>132</v>
      </c>
      <c r="C78" s="264"/>
      <c r="G78" s="265"/>
      <c r="J78" s="265"/>
      <c r="K78" s="265"/>
      <c r="L78" s="265"/>
      <c r="M78" s="265"/>
      <c r="N78" s="265"/>
      <c r="O78" s="265"/>
    </row>
    <row r="79" spans="1:16" ht="12.75">
      <c r="A79" s="220"/>
      <c r="B79" s="217" t="s">
        <v>104</v>
      </c>
      <c r="C79" s="220"/>
      <c r="D79" s="220"/>
      <c r="E79" s="221"/>
      <c r="F79" s="222"/>
      <c r="G79" s="222"/>
      <c r="H79" s="222"/>
      <c r="I79" s="222"/>
      <c r="J79" s="222"/>
      <c r="K79" s="222"/>
      <c r="L79" s="222"/>
      <c r="M79" s="222"/>
      <c r="N79" s="222"/>
      <c r="O79" s="220"/>
      <c r="P79" s="220"/>
    </row>
    <row r="80" spans="1:16" ht="12.75">
      <c r="A80" s="220"/>
      <c r="B80" s="220"/>
      <c r="C80" s="220"/>
      <c r="D80" s="220"/>
      <c r="E80" s="221"/>
      <c r="F80" s="222"/>
      <c r="G80" s="222"/>
      <c r="H80" s="222"/>
      <c r="I80" s="222"/>
      <c r="J80" s="222"/>
      <c r="K80" s="222"/>
      <c r="L80" s="222"/>
      <c r="M80" s="222"/>
      <c r="N80" s="222"/>
      <c r="O80" s="220"/>
      <c r="P80" s="220"/>
    </row>
    <row r="81" spans="1:14" s="224" customFormat="1" ht="20.25" customHeight="1">
      <c r="A81" s="889" t="s">
        <v>105</v>
      </c>
      <c r="B81" s="889" t="s">
        <v>106</v>
      </c>
      <c r="C81" s="889" t="s">
        <v>107</v>
      </c>
      <c r="D81" s="889" t="s">
        <v>108</v>
      </c>
      <c r="E81" s="890" t="s">
        <v>133</v>
      </c>
      <c r="F81" s="890"/>
      <c r="G81" s="890"/>
      <c r="H81" s="890"/>
      <c r="I81" s="890"/>
      <c r="J81" s="888" t="s">
        <v>436</v>
      </c>
      <c r="K81" s="888"/>
      <c r="L81" s="888"/>
      <c r="M81" s="888"/>
      <c r="N81" s="888"/>
    </row>
    <row r="82" spans="1:14" s="227" customFormat="1" ht="67.5">
      <c r="A82" s="889"/>
      <c r="B82" s="889"/>
      <c r="C82" s="889"/>
      <c r="D82" s="889"/>
      <c r="E82" s="225" t="s">
        <v>110</v>
      </c>
      <c r="F82" s="225" t="s">
        <v>111</v>
      </c>
      <c r="G82" s="225" t="s">
        <v>112</v>
      </c>
      <c r="H82" s="225" t="s">
        <v>113</v>
      </c>
      <c r="I82" s="226" t="s">
        <v>114</v>
      </c>
      <c r="J82" s="226" t="s">
        <v>115</v>
      </c>
      <c r="K82" s="226" t="s">
        <v>111</v>
      </c>
      <c r="L82" s="225" t="s">
        <v>112</v>
      </c>
      <c r="M82" s="226" t="s">
        <v>113</v>
      </c>
      <c r="N82" s="226" t="s">
        <v>114</v>
      </c>
    </row>
    <row r="83" spans="1:14" s="229" customFormat="1" ht="12.75">
      <c r="A83" s="889"/>
      <c r="B83" s="889"/>
      <c r="C83" s="889"/>
      <c r="D83" s="889"/>
      <c r="E83" s="228" t="s">
        <v>116</v>
      </c>
      <c r="F83" s="228" t="s">
        <v>117</v>
      </c>
      <c r="G83" s="228" t="s">
        <v>118</v>
      </c>
      <c r="H83" s="228" t="s">
        <v>35</v>
      </c>
      <c r="I83" s="225" t="s">
        <v>42</v>
      </c>
      <c r="J83" s="228" t="s">
        <v>116</v>
      </c>
      <c r="K83" s="228" t="s">
        <v>117</v>
      </c>
      <c r="L83" s="228" t="s">
        <v>118</v>
      </c>
      <c r="M83" s="228" t="s">
        <v>35</v>
      </c>
      <c r="N83" s="225" t="s">
        <v>42</v>
      </c>
    </row>
    <row r="84" spans="1:14" s="232" customFormat="1" ht="12" customHeight="1">
      <c r="A84" s="230">
        <v>1</v>
      </c>
      <c r="B84" s="231">
        <f aca="true" t="shared" si="9" ref="B84:N84">A84+1</f>
        <v>2</v>
      </c>
      <c r="C84" s="231">
        <f t="shared" si="9"/>
        <v>3</v>
      </c>
      <c r="D84" s="231">
        <f t="shared" si="9"/>
        <v>4</v>
      </c>
      <c r="E84" s="231">
        <f t="shared" si="9"/>
        <v>5</v>
      </c>
      <c r="F84" s="231">
        <f t="shared" si="9"/>
        <v>6</v>
      </c>
      <c r="G84" s="231">
        <f t="shared" si="9"/>
        <v>7</v>
      </c>
      <c r="H84" s="231">
        <f t="shared" si="9"/>
        <v>8</v>
      </c>
      <c r="I84" s="231">
        <f t="shared" si="9"/>
        <v>9</v>
      </c>
      <c r="J84" s="231">
        <f t="shared" si="9"/>
        <v>10</v>
      </c>
      <c r="K84" s="231">
        <f t="shared" si="9"/>
        <v>11</v>
      </c>
      <c r="L84" s="231">
        <f t="shared" si="9"/>
        <v>12</v>
      </c>
      <c r="M84" s="231">
        <f t="shared" si="9"/>
        <v>13</v>
      </c>
      <c r="N84" s="231">
        <f t="shared" si="9"/>
        <v>14</v>
      </c>
    </row>
    <row r="85" spans="1:16" ht="12.75">
      <c r="A85" s="233">
        <v>1</v>
      </c>
      <c r="B85" s="234" t="s">
        <v>119</v>
      </c>
      <c r="C85" s="234" t="s">
        <v>120</v>
      </c>
      <c r="D85" s="233">
        <v>6</v>
      </c>
      <c r="E85" s="235">
        <v>0.0461</v>
      </c>
      <c r="F85" s="236">
        <v>4</v>
      </c>
      <c r="G85" s="237">
        <f aca="true" t="shared" si="10" ref="G85:H87">G61</f>
        <v>3.16489</v>
      </c>
      <c r="H85" s="236">
        <f t="shared" si="10"/>
        <v>156</v>
      </c>
      <c r="I85" s="238">
        <f>ROUND(E85*F85*G85,5)</f>
        <v>0.58361</v>
      </c>
      <c r="J85" s="235">
        <v>0.0461</v>
      </c>
      <c r="K85" s="236">
        <v>4</v>
      </c>
      <c r="L85" s="237">
        <f aca="true" t="shared" si="11" ref="L85:M87">G85</f>
        <v>3.16489</v>
      </c>
      <c r="M85" s="236">
        <f t="shared" si="11"/>
        <v>156</v>
      </c>
      <c r="N85" s="238">
        <f>ROUND(J85*K85*L85,5)</f>
        <v>0.58361</v>
      </c>
      <c r="O85"/>
      <c r="P85"/>
    </row>
    <row r="86" spans="1:14" s="208" customFormat="1" ht="12.75">
      <c r="A86" s="239"/>
      <c r="B86" s="234" t="s">
        <v>119</v>
      </c>
      <c r="C86" s="234" t="s">
        <v>120</v>
      </c>
      <c r="D86" s="233">
        <v>1</v>
      </c>
      <c r="E86" s="235">
        <v>0.052</v>
      </c>
      <c r="F86" s="236">
        <v>4</v>
      </c>
      <c r="G86" s="237">
        <f t="shared" si="10"/>
        <v>0.95818</v>
      </c>
      <c r="H86" s="236">
        <f t="shared" si="10"/>
        <v>35</v>
      </c>
      <c r="I86" s="238">
        <f>ROUND(E86*F86*G86,5)</f>
        <v>0.1993</v>
      </c>
      <c r="J86" s="235">
        <f>E86</f>
        <v>0.052</v>
      </c>
      <c r="K86" s="236">
        <v>4</v>
      </c>
      <c r="L86" s="237">
        <f t="shared" si="11"/>
        <v>0.95818</v>
      </c>
      <c r="M86" s="236">
        <f t="shared" si="11"/>
        <v>35</v>
      </c>
      <c r="N86" s="238">
        <f>ROUND(J86*K86*L86,5)</f>
        <v>0.1993</v>
      </c>
    </row>
    <row r="87" spans="1:14" s="208" customFormat="1" ht="12.75">
      <c r="A87" s="239"/>
      <c r="B87" s="234" t="s">
        <v>119</v>
      </c>
      <c r="C87" s="234" t="s">
        <v>120</v>
      </c>
      <c r="D87" s="233">
        <v>4</v>
      </c>
      <c r="E87" s="235">
        <v>0.0456</v>
      </c>
      <c r="F87" s="236">
        <v>4</v>
      </c>
      <c r="G87" s="237">
        <f t="shared" si="10"/>
        <v>0.46809</v>
      </c>
      <c r="H87" s="236">
        <f t="shared" si="10"/>
        <v>16</v>
      </c>
      <c r="I87" s="238">
        <f>ROUND(E87*F87*G87,5)</f>
        <v>0.08538</v>
      </c>
      <c r="J87" s="235">
        <v>0.0456</v>
      </c>
      <c r="K87" s="236">
        <v>4</v>
      </c>
      <c r="L87" s="237">
        <f t="shared" si="11"/>
        <v>0.46809</v>
      </c>
      <c r="M87" s="236">
        <f t="shared" si="11"/>
        <v>16</v>
      </c>
      <c r="N87" s="238">
        <f>ROUND(J87*K87*L87,5)</f>
        <v>0.08538</v>
      </c>
    </row>
    <row r="88" spans="1:14" s="245" customFormat="1" ht="23.25" customHeight="1">
      <c r="A88" s="891" t="s">
        <v>121</v>
      </c>
      <c r="B88" s="891"/>
      <c r="C88" s="891"/>
      <c r="D88" s="817">
        <v>11</v>
      </c>
      <c r="E88" s="240">
        <f>ROUND(I88/G88/F88,8)</f>
        <v>0.04728053</v>
      </c>
      <c r="F88" s="241">
        <v>4</v>
      </c>
      <c r="G88" s="242">
        <f>SUM(G85:G87)</f>
        <v>4.59116</v>
      </c>
      <c r="H88" s="243">
        <f>SUM(H85:H87)</f>
        <v>207</v>
      </c>
      <c r="I88" s="244">
        <f>SUM(I85:I87)</f>
        <v>0.86829</v>
      </c>
      <c r="J88" s="240">
        <f>ROUND(N88/L88/K88,8)</f>
        <v>0.04728053</v>
      </c>
      <c r="K88" s="241">
        <v>4</v>
      </c>
      <c r="L88" s="242">
        <f>SUM(L85:L87)</f>
        <v>4.59116</v>
      </c>
      <c r="M88" s="243">
        <f>SUM(M85:M87)</f>
        <v>207</v>
      </c>
      <c r="N88" s="244">
        <f>SUM(N85:N87)</f>
        <v>0.86829</v>
      </c>
    </row>
    <row r="89" spans="1:4" s="207" customFormat="1" ht="12.75">
      <c r="A89" s="246"/>
      <c r="B89" s="246"/>
      <c r="C89" s="208"/>
      <c r="D89" s="208"/>
    </row>
    <row r="90" spans="1:4" s="207" customFormat="1" ht="12.75">
      <c r="A90" s="246"/>
      <c r="B90" s="247" t="s">
        <v>122</v>
      </c>
      <c r="C90" s="208"/>
      <c r="D90" s="208"/>
    </row>
    <row r="91" spans="1:4" s="207" customFormat="1" ht="12.75">
      <c r="A91" s="246"/>
      <c r="B91" s="246"/>
      <c r="C91" s="208"/>
      <c r="D91" s="208"/>
    </row>
    <row r="92" spans="1:14" s="207" customFormat="1" ht="19.5" customHeight="1">
      <c r="A92" s="889" t="s">
        <v>105</v>
      </c>
      <c r="B92" s="889" t="s">
        <v>106</v>
      </c>
      <c r="C92" s="889" t="s">
        <v>107</v>
      </c>
      <c r="D92" s="889" t="s">
        <v>108</v>
      </c>
      <c r="E92" s="890" t="s">
        <v>133</v>
      </c>
      <c r="F92" s="890"/>
      <c r="G92" s="890"/>
      <c r="H92" s="890"/>
      <c r="I92" s="890"/>
      <c r="J92" s="888" t="s">
        <v>436</v>
      </c>
      <c r="K92" s="888"/>
      <c r="L92" s="888"/>
      <c r="M92" s="888"/>
      <c r="N92" s="888"/>
    </row>
    <row r="93" spans="1:14" s="207" customFormat="1" ht="81.75" customHeight="1">
      <c r="A93" s="889"/>
      <c r="B93" s="889"/>
      <c r="C93" s="889"/>
      <c r="D93" s="889"/>
      <c r="E93" s="248" t="s">
        <v>123</v>
      </c>
      <c r="F93" s="225" t="s">
        <v>124</v>
      </c>
      <c r="G93" s="225" t="s">
        <v>112</v>
      </c>
      <c r="H93" s="225" t="s">
        <v>113</v>
      </c>
      <c r="I93" s="226" t="s">
        <v>114</v>
      </c>
      <c r="J93" s="225" t="s">
        <v>125</v>
      </c>
      <c r="K93" s="226" t="s">
        <v>111</v>
      </c>
      <c r="L93" s="225" t="s">
        <v>112</v>
      </c>
      <c r="M93" s="226" t="s">
        <v>113</v>
      </c>
      <c r="N93" s="226" t="s">
        <v>114</v>
      </c>
    </row>
    <row r="94" spans="1:14" s="207" customFormat="1" ht="12.75">
      <c r="A94" s="889"/>
      <c r="B94" s="889"/>
      <c r="C94" s="889"/>
      <c r="D94" s="889"/>
      <c r="E94" s="228" t="s">
        <v>126</v>
      </c>
      <c r="F94" s="228" t="s">
        <v>117</v>
      </c>
      <c r="G94" s="228" t="s">
        <v>118</v>
      </c>
      <c r="H94" s="228" t="s">
        <v>35</v>
      </c>
      <c r="I94" s="225" t="s">
        <v>42</v>
      </c>
      <c r="J94" s="228" t="s">
        <v>126</v>
      </c>
      <c r="K94" s="228" t="s">
        <v>117</v>
      </c>
      <c r="L94" s="228" t="s">
        <v>118</v>
      </c>
      <c r="M94" s="228" t="s">
        <v>35</v>
      </c>
      <c r="N94" s="225" t="s">
        <v>42</v>
      </c>
    </row>
    <row r="95" spans="1:14" s="207" customFormat="1" ht="12.75">
      <c r="A95" s="230">
        <v>1</v>
      </c>
      <c r="B95" s="231">
        <f aca="true" t="shared" si="12" ref="B95:N95">A95+1</f>
        <v>2</v>
      </c>
      <c r="C95" s="231">
        <f t="shared" si="12"/>
        <v>3</v>
      </c>
      <c r="D95" s="231">
        <f t="shared" si="12"/>
        <v>4</v>
      </c>
      <c r="E95" s="231">
        <f t="shared" si="12"/>
        <v>5</v>
      </c>
      <c r="F95" s="231">
        <f t="shared" si="12"/>
        <v>6</v>
      </c>
      <c r="G95" s="231">
        <f t="shared" si="12"/>
        <v>7</v>
      </c>
      <c r="H95" s="231">
        <f t="shared" si="12"/>
        <v>8</v>
      </c>
      <c r="I95" s="231">
        <f t="shared" si="12"/>
        <v>9</v>
      </c>
      <c r="J95" s="231">
        <f t="shared" si="12"/>
        <v>10</v>
      </c>
      <c r="K95" s="231">
        <f t="shared" si="12"/>
        <v>11</v>
      </c>
      <c r="L95" s="231">
        <f t="shared" si="12"/>
        <v>12</v>
      </c>
      <c r="M95" s="231">
        <f t="shared" si="12"/>
        <v>13</v>
      </c>
      <c r="N95" s="231">
        <f t="shared" si="12"/>
        <v>14</v>
      </c>
    </row>
    <row r="96" spans="1:14" s="207" customFormat="1" ht="12.75">
      <c r="A96" s="233">
        <v>1</v>
      </c>
      <c r="B96" s="234"/>
      <c r="C96" s="234"/>
      <c r="D96" s="233"/>
      <c r="E96" s="235"/>
      <c r="F96" s="236"/>
      <c r="G96" s="235"/>
      <c r="H96" s="235"/>
      <c r="I96" s="238">
        <f>ROUND(E96*F96,5)</f>
        <v>0</v>
      </c>
      <c r="J96" s="235">
        <f>E96</f>
        <v>0</v>
      </c>
      <c r="K96" s="249"/>
      <c r="L96" s="235">
        <f>G96</f>
        <v>0</v>
      </c>
      <c r="M96" s="235">
        <f>H96</f>
        <v>0</v>
      </c>
      <c r="N96" s="238">
        <f>ROUND(J96*K96,5)</f>
        <v>0</v>
      </c>
    </row>
    <row r="97" spans="1:14" ht="12.75">
      <c r="A97" s="239"/>
      <c r="B97" s="234"/>
      <c r="C97" s="234"/>
      <c r="D97" s="234"/>
      <c r="E97" s="235"/>
      <c r="F97" s="236"/>
      <c r="G97" s="235"/>
      <c r="H97" s="235"/>
      <c r="I97" s="238">
        <f>ROUND(E97*F97,5)</f>
        <v>0</v>
      </c>
      <c r="J97" s="235"/>
      <c r="K97" s="249"/>
      <c r="L97" s="235"/>
      <c r="M97" s="235"/>
      <c r="N97" s="238">
        <f>ROUND(J97*K97,5)</f>
        <v>0</v>
      </c>
    </row>
    <row r="98" spans="1:14" ht="12.75">
      <c r="A98" s="239"/>
      <c r="B98" s="234"/>
      <c r="C98" s="234"/>
      <c r="D98" s="234"/>
      <c r="E98" s="235"/>
      <c r="F98" s="236"/>
      <c r="G98" s="235"/>
      <c r="H98" s="235"/>
      <c r="I98" s="238">
        <f>ROUND(E98*F98,5)</f>
        <v>0</v>
      </c>
      <c r="J98" s="235"/>
      <c r="K98" s="249"/>
      <c r="L98" s="235"/>
      <c r="M98" s="235"/>
      <c r="N98" s="238">
        <f>ROUND(J98*K98,5)</f>
        <v>0</v>
      </c>
    </row>
    <row r="99" spans="1:14" ht="27" customHeight="1">
      <c r="A99" s="891" t="s">
        <v>121</v>
      </c>
      <c r="B99" s="891"/>
      <c r="C99" s="891"/>
      <c r="D99" s="250"/>
      <c r="E99" s="251" t="e">
        <f>ROUND(I99/G99/F99,6)</f>
        <v>#DIV/0!</v>
      </c>
      <c r="F99" s="241"/>
      <c r="G99" s="242">
        <f>SUM(G96:G98)</f>
        <v>0</v>
      </c>
      <c r="H99" s="243">
        <f>SUM(H96:H98)</f>
        <v>0</v>
      </c>
      <c r="I99" s="252">
        <f>SUM(I96:I98)</f>
        <v>0</v>
      </c>
      <c r="J99" s="251" t="e">
        <f>ROUND(N99/L99/K99,6)</f>
        <v>#DIV/0!</v>
      </c>
      <c r="K99" s="241"/>
      <c r="L99" s="242">
        <f>SUM(L96:L98)</f>
        <v>0</v>
      </c>
      <c r="M99" s="243">
        <f>SUM(M96:M98)</f>
        <v>0</v>
      </c>
      <c r="N99" s="253">
        <f>SUM(N96:N98)</f>
        <v>0</v>
      </c>
    </row>
    <row r="101" spans="2:6" ht="18.75">
      <c r="B101" s="802" t="s">
        <v>422</v>
      </c>
      <c r="C101" s="803"/>
      <c r="D101" s="803" t="s">
        <v>423</v>
      </c>
      <c r="E101" s="809"/>
      <c r="F101" s="804"/>
    </row>
    <row r="102" spans="2:6" ht="18.75">
      <c r="B102" s="802"/>
      <c r="C102" s="802"/>
      <c r="D102" s="802"/>
      <c r="E102" s="802"/>
      <c r="F102" s="804" t="s">
        <v>97</v>
      </c>
    </row>
    <row r="103" spans="2:6" ht="18.75">
      <c r="B103" s="802" t="s">
        <v>98</v>
      </c>
      <c r="C103" s="803" t="s">
        <v>424</v>
      </c>
      <c r="D103" s="803"/>
      <c r="E103" s="803"/>
      <c r="F103" s="804"/>
    </row>
    <row r="104" spans="2:6" ht="18.75">
      <c r="B104" s="802" t="s">
        <v>421</v>
      </c>
      <c r="C104" s="808" t="s">
        <v>425</v>
      </c>
      <c r="D104" s="807"/>
      <c r="E104" s="807"/>
      <c r="F104" s="804"/>
    </row>
  </sheetData>
  <sheetProtection selectLockedCells="1" selectUnlockedCells="1"/>
  <mergeCells count="57">
    <mergeCell ref="A3:N3"/>
    <mergeCell ref="A9:A11"/>
    <mergeCell ref="B9:B11"/>
    <mergeCell ref="C9:C11"/>
    <mergeCell ref="D9:D11"/>
    <mergeCell ref="E9:I9"/>
    <mergeCell ref="J9:N9"/>
    <mergeCell ref="D20:D22"/>
    <mergeCell ref="E20:I20"/>
    <mergeCell ref="J20:N20"/>
    <mergeCell ref="A27:C27"/>
    <mergeCell ref="A16:C16"/>
    <mergeCell ref="A20:A22"/>
    <mergeCell ref="B20:B22"/>
    <mergeCell ref="C20:C22"/>
    <mergeCell ref="E44:I44"/>
    <mergeCell ref="J44:N44"/>
    <mergeCell ref="A33:A35"/>
    <mergeCell ref="B33:B35"/>
    <mergeCell ref="C33:C35"/>
    <mergeCell ref="D33:D35"/>
    <mergeCell ref="E57:I57"/>
    <mergeCell ref="J57:N57"/>
    <mergeCell ref="A64:C64"/>
    <mergeCell ref="E33:I33"/>
    <mergeCell ref="J33:N33"/>
    <mergeCell ref="A40:C40"/>
    <mergeCell ref="A44:A46"/>
    <mergeCell ref="B44:B46"/>
    <mergeCell ref="C44:C46"/>
    <mergeCell ref="D44:D46"/>
    <mergeCell ref="B68:B70"/>
    <mergeCell ref="C68:C70"/>
    <mergeCell ref="D68:D70"/>
    <mergeCell ref="E68:I68"/>
    <mergeCell ref="J68:N68"/>
    <mergeCell ref="A51:C51"/>
    <mergeCell ref="A57:A59"/>
    <mergeCell ref="B57:B59"/>
    <mergeCell ref="C57:C59"/>
    <mergeCell ref="D57:D59"/>
    <mergeCell ref="A99:C99"/>
    <mergeCell ref="A88:C88"/>
    <mergeCell ref="A92:A94"/>
    <mergeCell ref="B92:B94"/>
    <mergeCell ref="C92:C94"/>
    <mergeCell ref="E81:I81"/>
    <mergeCell ref="J81:N81"/>
    <mergeCell ref="A68:A70"/>
    <mergeCell ref="D92:D94"/>
    <mergeCell ref="E92:I92"/>
    <mergeCell ref="J92:N92"/>
    <mergeCell ref="A75:C75"/>
    <mergeCell ref="A81:A83"/>
    <mergeCell ref="B81:B83"/>
    <mergeCell ref="C81:C83"/>
    <mergeCell ref="D81:D83"/>
  </mergeCells>
  <printOptions horizontalCentered="1"/>
  <pageMargins left="0.19652777777777777" right="0.19652777777777777" top="0.5902777777777778" bottom="0.9840277777777777" header="0.5118055555555555" footer="0.5118055555555555"/>
  <pageSetup horizontalDpi="300" verticalDpi="300" orientation="landscape" paperSize="9" scale="4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T117"/>
  <sheetViews>
    <sheetView zoomScale="90" zoomScaleNormal="90" zoomScaleSheetLayoutView="86" zoomScalePageLayoutView="0" workbookViewId="0" topLeftCell="A1">
      <selection activeCell="J96" sqref="J96"/>
    </sheetView>
  </sheetViews>
  <sheetFormatPr defaultColWidth="9.00390625" defaultRowHeight="12.75"/>
  <cols>
    <col min="1" max="1" width="3.625" style="208" customWidth="1"/>
    <col min="2" max="2" width="22.25390625" style="208" customWidth="1"/>
    <col min="3" max="3" width="20.00390625" style="208" customWidth="1"/>
    <col min="4" max="4" width="11.375" style="208" customWidth="1"/>
    <col min="5" max="5" width="10.25390625" style="208" customWidth="1"/>
    <col min="6" max="6" width="8.375" style="208" customWidth="1"/>
    <col min="7" max="7" width="15.75390625" style="265" customWidth="1"/>
    <col min="8" max="8" width="14.625" style="208" customWidth="1"/>
    <col min="9" max="9" width="13.625" style="208" customWidth="1"/>
    <col min="10" max="10" width="12.75390625" style="265" customWidth="1"/>
    <col min="11" max="11" width="11.00390625" style="265" customWidth="1"/>
    <col min="12" max="12" width="9.625" style="265" customWidth="1"/>
    <col min="13" max="13" width="15.125" style="265" customWidth="1"/>
    <col min="14" max="14" width="14.875" style="265" customWidth="1"/>
    <col min="15" max="15" width="13.625" style="265" customWidth="1"/>
    <col min="16" max="16384" width="9.125" style="208" customWidth="1"/>
  </cols>
  <sheetData>
    <row r="1" spans="2:15" ht="12.75">
      <c r="B1" s="214" t="s">
        <v>134</v>
      </c>
      <c r="O1" s="266" t="s">
        <v>135</v>
      </c>
    </row>
    <row r="2" ht="12.75">
      <c r="B2" s="214"/>
    </row>
    <row r="3" spans="1:15" ht="20.25" customHeight="1">
      <c r="A3" s="905" t="s">
        <v>437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</row>
    <row r="4" spans="1:20" s="273" customFormat="1" ht="18" customHeight="1">
      <c r="A4" s="267"/>
      <c r="B4" s="267"/>
      <c r="C4" s="268"/>
      <c r="D4" s="269"/>
      <c r="E4" s="269"/>
      <c r="F4" s="269"/>
      <c r="G4" s="270"/>
      <c r="H4" s="219" t="s">
        <v>102</v>
      </c>
      <c r="I4" s="270"/>
      <c r="J4" s="219"/>
      <c r="K4" s="219"/>
      <c r="L4" s="271"/>
      <c r="M4" s="271"/>
      <c r="N4" s="272"/>
      <c r="O4" s="271"/>
      <c r="P4" s="267"/>
      <c r="Q4" s="267"/>
      <c r="R4" s="267"/>
      <c r="S4" s="267"/>
      <c r="T4" s="267"/>
    </row>
    <row r="5" spans="1:15" ht="15.75">
      <c r="A5" s="274"/>
      <c r="B5" s="274"/>
      <c r="C5" s="274"/>
      <c r="D5" s="274"/>
      <c r="E5" s="274"/>
      <c r="F5" s="221"/>
      <c r="G5" s="222"/>
      <c r="H5" s="222"/>
      <c r="I5" s="222"/>
      <c r="J5" s="222"/>
      <c r="K5" s="222"/>
      <c r="L5" s="222"/>
      <c r="M5" s="274"/>
      <c r="N5" s="274"/>
      <c r="O5" s="274"/>
    </row>
    <row r="6" spans="1:15" ht="15.75" customHeight="1">
      <c r="A6" s="274"/>
      <c r="B6" s="904" t="s">
        <v>136</v>
      </c>
      <c r="C6" s="904"/>
      <c r="D6" s="274"/>
      <c r="E6" s="274"/>
      <c r="F6" s="221"/>
      <c r="G6" s="222"/>
      <c r="H6" s="222"/>
      <c r="I6" s="222"/>
      <c r="J6" s="222"/>
      <c r="K6" s="222"/>
      <c r="L6" s="222"/>
      <c r="M6" s="274"/>
      <c r="N6" s="274"/>
      <c r="O6" s="274"/>
    </row>
    <row r="7" spans="1:15" ht="15.75">
      <c r="A7" s="274"/>
      <c r="B7" s="275" t="s">
        <v>132</v>
      </c>
      <c r="C7" s="275"/>
      <c r="D7" s="274"/>
      <c r="E7" s="274"/>
      <c r="F7" s="221"/>
      <c r="G7" s="222"/>
      <c r="H7" s="222"/>
      <c r="I7" s="222"/>
      <c r="J7" s="222"/>
      <c r="K7" s="222"/>
      <c r="L7" s="222"/>
      <c r="M7" s="274"/>
      <c r="N7" s="274"/>
      <c r="O7" s="274"/>
    </row>
    <row r="8" spans="1:15" ht="15.75" customHeight="1">
      <c r="A8" s="274"/>
      <c r="B8" s="901" t="s">
        <v>104</v>
      </c>
      <c r="C8" s="901"/>
      <c r="D8" s="901"/>
      <c r="E8" s="901"/>
      <c r="F8" s="901"/>
      <c r="G8" s="901"/>
      <c r="H8" s="901"/>
      <c r="I8" s="901"/>
      <c r="J8" s="901"/>
      <c r="K8" s="901"/>
      <c r="L8" s="901"/>
      <c r="M8" s="274"/>
      <c r="N8" s="274"/>
      <c r="O8" s="274"/>
    </row>
    <row r="9" ht="7.5" customHeight="1"/>
    <row r="10" spans="1:15" s="276" customFormat="1" ht="21.75" customHeight="1">
      <c r="A10" s="889" t="s">
        <v>105</v>
      </c>
      <c r="B10" s="889" t="s">
        <v>106</v>
      </c>
      <c r="C10" s="889" t="s">
        <v>107</v>
      </c>
      <c r="D10" s="898" t="s">
        <v>137</v>
      </c>
      <c r="E10" s="898"/>
      <c r="F10" s="898"/>
      <c r="G10" s="898"/>
      <c r="H10" s="898"/>
      <c r="I10" s="898"/>
      <c r="J10" s="903" t="s">
        <v>438</v>
      </c>
      <c r="K10" s="903"/>
      <c r="L10" s="903"/>
      <c r="M10" s="903"/>
      <c r="N10" s="903"/>
      <c r="O10" s="903"/>
    </row>
    <row r="11" spans="1:15" s="276" customFormat="1" ht="51" customHeight="1">
      <c r="A11" s="889"/>
      <c r="B11" s="889"/>
      <c r="C11" s="889"/>
      <c r="D11" s="896" t="s">
        <v>138</v>
      </c>
      <c r="E11" s="896" t="s">
        <v>139</v>
      </c>
      <c r="F11" s="896" t="s">
        <v>140</v>
      </c>
      <c r="G11" s="897" t="s">
        <v>141</v>
      </c>
      <c r="H11" s="897" t="s">
        <v>15</v>
      </c>
      <c r="I11" s="897"/>
      <c r="J11" s="900" t="s">
        <v>142</v>
      </c>
      <c r="K11" s="895" t="s">
        <v>143</v>
      </c>
      <c r="L11" s="896" t="s">
        <v>140</v>
      </c>
      <c r="M11" s="897" t="s">
        <v>144</v>
      </c>
      <c r="N11" s="897" t="s">
        <v>15</v>
      </c>
      <c r="O11" s="897"/>
    </row>
    <row r="12" spans="1:15" s="276" customFormat="1" ht="153" customHeight="1">
      <c r="A12" s="889"/>
      <c r="B12" s="889"/>
      <c r="C12" s="889"/>
      <c r="D12" s="896"/>
      <c r="E12" s="896"/>
      <c r="F12" s="896"/>
      <c r="G12" s="897"/>
      <c r="H12" s="277" t="s">
        <v>145</v>
      </c>
      <c r="I12" s="278" t="s">
        <v>146</v>
      </c>
      <c r="J12" s="900"/>
      <c r="K12" s="895"/>
      <c r="L12" s="896"/>
      <c r="M12" s="897"/>
      <c r="N12" s="277" t="s">
        <v>147</v>
      </c>
      <c r="O12" s="277" t="s">
        <v>148</v>
      </c>
    </row>
    <row r="13" spans="1:15" s="279" customFormat="1" ht="12" customHeight="1">
      <c r="A13" s="889"/>
      <c r="B13" s="889"/>
      <c r="C13" s="889"/>
      <c r="D13" s="54" t="s">
        <v>149</v>
      </c>
      <c r="E13" s="54" t="s">
        <v>149</v>
      </c>
      <c r="F13" s="54"/>
      <c r="G13" s="54" t="s">
        <v>150</v>
      </c>
      <c r="H13" s="54" t="s">
        <v>36</v>
      </c>
      <c r="I13" s="54" t="s">
        <v>36</v>
      </c>
      <c r="J13" s="54" t="s">
        <v>149</v>
      </c>
      <c r="K13" s="54" t="s">
        <v>149</v>
      </c>
      <c r="L13" s="54"/>
      <c r="M13" s="54" t="s">
        <v>150</v>
      </c>
      <c r="N13" s="54" t="s">
        <v>36</v>
      </c>
      <c r="O13" s="54" t="s">
        <v>36</v>
      </c>
    </row>
    <row r="14" spans="1:15" s="283" customFormat="1" ht="11.25">
      <c r="A14" s="280">
        <v>1</v>
      </c>
      <c r="B14" s="280">
        <f aca="true" t="shared" si="0" ref="B14:O14">A14+1</f>
        <v>2</v>
      </c>
      <c r="C14" s="280">
        <f t="shared" si="0"/>
        <v>3</v>
      </c>
      <c r="D14" s="280">
        <f t="shared" si="0"/>
        <v>4</v>
      </c>
      <c r="E14" s="280">
        <f t="shared" si="0"/>
        <v>5</v>
      </c>
      <c r="F14" s="280">
        <f t="shared" si="0"/>
        <v>6</v>
      </c>
      <c r="G14" s="281">
        <f t="shared" si="0"/>
        <v>7</v>
      </c>
      <c r="H14" s="281">
        <f t="shared" si="0"/>
        <v>8</v>
      </c>
      <c r="I14" s="281">
        <f t="shared" si="0"/>
        <v>9</v>
      </c>
      <c r="J14" s="281">
        <f t="shared" si="0"/>
        <v>10</v>
      </c>
      <c r="K14" s="282">
        <f t="shared" si="0"/>
        <v>11</v>
      </c>
      <c r="L14" s="282">
        <f t="shared" si="0"/>
        <v>12</v>
      </c>
      <c r="M14" s="282">
        <f t="shared" si="0"/>
        <v>13</v>
      </c>
      <c r="N14" s="282">
        <f t="shared" si="0"/>
        <v>14</v>
      </c>
      <c r="O14" s="282">
        <f t="shared" si="0"/>
        <v>15</v>
      </c>
    </row>
    <row r="15" spans="1:15" s="289" customFormat="1" ht="12.75">
      <c r="A15" s="233">
        <v>1</v>
      </c>
      <c r="B15" s="234" t="str">
        <f>'норм отопл  (2-1) '!B13</f>
        <v>п.Рассвет</v>
      </c>
      <c r="C15" s="234" t="str">
        <f>'норм отопл  (2-1) '!C13</f>
        <v>ООО «Жилбытсервис»</v>
      </c>
      <c r="D15" s="284">
        <v>2411.05</v>
      </c>
      <c r="E15" s="284">
        <v>2022.75</v>
      </c>
      <c r="F15" s="285">
        <f>ROUND(E15/D15*100,1)</f>
        <v>83.9</v>
      </c>
      <c r="G15" s="286">
        <f>'норм отопл  (2-1) '!I13</f>
        <v>0.72951</v>
      </c>
      <c r="H15" s="287">
        <f>ROUND(D15*G15,3)</f>
        <v>1758.885</v>
      </c>
      <c r="I15" s="287">
        <f>ROUND(E15*G15,3)</f>
        <v>1475.616</v>
      </c>
      <c r="J15" s="284">
        <v>2411.05</v>
      </c>
      <c r="K15" s="284">
        <v>2022.75</v>
      </c>
      <c r="L15" s="285">
        <f>ROUND(K15/J15*100,1)</f>
        <v>83.9</v>
      </c>
      <c r="M15" s="286">
        <f>'норм отопл  (2-1) '!N13</f>
        <v>0.72951</v>
      </c>
      <c r="N15" s="287">
        <f>ROUND(J15*M15,3)</f>
        <v>1758.885</v>
      </c>
      <c r="O15" s="287">
        <f>ROUND(K15*M15,3)</f>
        <v>1475.616</v>
      </c>
    </row>
    <row r="16" spans="1:15" s="289" customFormat="1" ht="12.75">
      <c r="A16" s="233"/>
      <c r="B16" s="234" t="str">
        <f>'норм отопл  (2-1) '!B14</f>
        <v>п.Рассвет</v>
      </c>
      <c r="C16" s="234" t="str">
        <f>'норм отопл  (2-1) '!C14</f>
        <v>ООО «Жилбытсервис»</v>
      </c>
      <c r="D16" s="284">
        <v>2411.05</v>
      </c>
      <c r="E16" s="284">
        <v>2022.75</v>
      </c>
      <c r="F16" s="285">
        <f>ROUND(E16/D16*100,1)</f>
        <v>83.9</v>
      </c>
      <c r="G16" s="286">
        <f>'норм отопл  (2-1) '!I14</f>
        <v>0.24913</v>
      </c>
      <c r="H16" s="287">
        <f>ROUND(D16*G16,3)</f>
        <v>600.665</v>
      </c>
      <c r="I16" s="287">
        <f>ROUND(E16*G16,3)</f>
        <v>503.928</v>
      </c>
      <c r="J16" s="284">
        <v>2411.05</v>
      </c>
      <c r="K16" s="284">
        <v>2022.75</v>
      </c>
      <c r="L16" s="285">
        <f>ROUND(K16/J16*100,1)</f>
        <v>83.9</v>
      </c>
      <c r="M16" s="286">
        <f>'норм отопл  (2-1) '!N14</f>
        <v>0.24913</v>
      </c>
      <c r="N16" s="287">
        <f>ROUND(J16*M16,3)</f>
        <v>600.665</v>
      </c>
      <c r="O16" s="287">
        <f>ROUND(K16*M16,3)</f>
        <v>503.928</v>
      </c>
    </row>
    <row r="17" spans="1:15" s="289" customFormat="1" ht="12.75">
      <c r="A17" s="233"/>
      <c r="B17" s="234" t="str">
        <f>'норм отопл  (2-1) '!B15</f>
        <v>п.Рассвет</v>
      </c>
      <c r="C17" s="234" t="str">
        <f>'норм отопл  (2-1) '!C15</f>
        <v>ООО «Жилбытсервис»</v>
      </c>
      <c r="D17" s="284">
        <v>2411.05</v>
      </c>
      <c r="E17" s="284">
        <v>2022.75</v>
      </c>
      <c r="F17" s="285">
        <f>ROUND(E17/D17*100,1)</f>
        <v>83.9</v>
      </c>
      <c r="G17" s="286">
        <f>'норм отопл  (2-1) '!I15</f>
        <v>0.10672</v>
      </c>
      <c r="H17" s="287">
        <f>ROUND(D17*G17,3)</f>
        <v>257.307</v>
      </c>
      <c r="I17" s="287">
        <f>ROUND(E17*G17,3)</f>
        <v>215.868</v>
      </c>
      <c r="J17" s="284">
        <v>2411.05</v>
      </c>
      <c r="K17" s="284">
        <v>2022.75</v>
      </c>
      <c r="L17" s="285">
        <f>ROUND(K17/J17*100,1)</f>
        <v>83.9</v>
      </c>
      <c r="M17" s="286">
        <f>'норм отопл  (2-1) '!N15</f>
        <v>0.10672</v>
      </c>
      <c r="N17" s="287">
        <f>ROUND(J17*M17,3)</f>
        <v>257.307</v>
      </c>
      <c r="O17" s="287">
        <f>ROUND(K17*M17,3)</f>
        <v>215.868</v>
      </c>
    </row>
    <row r="18" spans="1:15" s="245" customFormat="1" ht="28.5" customHeight="1">
      <c r="A18" s="894" t="s">
        <v>121</v>
      </c>
      <c r="B18" s="894"/>
      <c r="C18" s="894"/>
      <c r="D18" s="290">
        <f>ROUND(H18/G18,6)</f>
        <v>2411.04979</v>
      </c>
      <c r="E18" s="290">
        <f>ROUND(I18/G18,6)</f>
        <v>2022.750055</v>
      </c>
      <c r="F18" s="291">
        <f>ROUND(E18/D18*100,1)</f>
        <v>83.9</v>
      </c>
      <c r="G18" s="292">
        <f>SUM(G15:G17)</f>
        <v>1.0853599999999999</v>
      </c>
      <c r="H18" s="293">
        <f>SUM(H15:H17)</f>
        <v>2616.857</v>
      </c>
      <c r="I18" s="293">
        <f>SUM(I15:I17)</f>
        <v>2195.412</v>
      </c>
      <c r="J18" s="294">
        <f>ROUND(N18/M18,6)</f>
        <v>2411.04979</v>
      </c>
      <c r="K18" s="294">
        <f>ROUND(O18/M18,6)</f>
        <v>2022.750055</v>
      </c>
      <c r="L18" s="291">
        <f>ROUND(K18/J18*100,1)</f>
        <v>83.9</v>
      </c>
      <c r="M18" s="292">
        <f>SUM(M15:M17)</f>
        <v>1.0853599999999999</v>
      </c>
      <c r="N18" s="293">
        <f>SUM(N15:N17)</f>
        <v>2616.857</v>
      </c>
      <c r="O18" s="293">
        <f>SUM(O15:O17)</f>
        <v>2195.412</v>
      </c>
    </row>
    <row r="19" spans="1:9" ht="12.75">
      <c r="A19" s="246"/>
      <c r="B19" s="246"/>
      <c r="D19" s="295"/>
      <c r="E19" s="265"/>
      <c r="F19" s="265"/>
      <c r="H19" s="265"/>
      <c r="I19" s="265"/>
    </row>
    <row r="21" ht="12.75">
      <c r="B21" s="247" t="s">
        <v>122</v>
      </c>
    </row>
    <row r="23" spans="1:15" ht="26.25" customHeight="1">
      <c r="A23" s="889" t="s">
        <v>105</v>
      </c>
      <c r="B23" s="889" t="s">
        <v>106</v>
      </c>
      <c r="C23" s="889" t="s">
        <v>107</v>
      </c>
      <c r="D23" s="898" t="s">
        <v>137</v>
      </c>
      <c r="E23" s="898"/>
      <c r="F23" s="898"/>
      <c r="G23" s="898"/>
      <c r="H23" s="898"/>
      <c r="I23" s="898"/>
      <c r="J23" s="903" t="s">
        <v>438</v>
      </c>
      <c r="K23" s="903"/>
      <c r="L23" s="903"/>
      <c r="M23" s="903"/>
      <c r="N23" s="903"/>
      <c r="O23" s="903"/>
    </row>
    <row r="24" spans="1:15" ht="48.75" customHeight="1">
      <c r="A24" s="889"/>
      <c r="B24" s="889"/>
      <c r="C24" s="889"/>
      <c r="D24" s="896" t="s">
        <v>138</v>
      </c>
      <c r="E24" s="896" t="s">
        <v>139</v>
      </c>
      <c r="F24" s="896" t="s">
        <v>140</v>
      </c>
      <c r="G24" s="897" t="s">
        <v>151</v>
      </c>
      <c r="H24" s="897" t="s">
        <v>15</v>
      </c>
      <c r="I24" s="897"/>
      <c r="J24" s="900" t="s">
        <v>142</v>
      </c>
      <c r="K24" s="895" t="s">
        <v>143</v>
      </c>
      <c r="L24" s="896" t="s">
        <v>140</v>
      </c>
      <c r="M24" s="897" t="s">
        <v>152</v>
      </c>
      <c r="N24" s="897" t="s">
        <v>15</v>
      </c>
      <c r="O24" s="897"/>
    </row>
    <row r="25" spans="1:15" ht="127.5">
      <c r="A25" s="889"/>
      <c r="B25" s="889"/>
      <c r="C25" s="889"/>
      <c r="D25" s="896"/>
      <c r="E25" s="896"/>
      <c r="F25" s="896"/>
      <c r="G25" s="897"/>
      <c r="H25" s="277" t="s">
        <v>153</v>
      </c>
      <c r="I25" s="277" t="s">
        <v>154</v>
      </c>
      <c r="J25" s="900"/>
      <c r="K25" s="895"/>
      <c r="L25" s="896"/>
      <c r="M25" s="897"/>
      <c r="N25" s="277" t="s">
        <v>147</v>
      </c>
      <c r="O25" s="277" t="s">
        <v>155</v>
      </c>
    </row>
    <row r="26" spans="1:15" ht="12.75">
      <c r="A26" s="889"/>
      <c r="B26" s="889"/>
      <c r="C26" s="889"/>
      <c r="D26" s="54" t="s">
        <v>149</v>
      </c>
      <c r="E26" s="54" t="s">
        <v>149</v>
      </c>
      <c r="F26" s="54"/>
      <c r="G26" s="54" t="s">
        <v>150</v>
      </c>
      <c r="H26" s="54" t="s">
        <v>36</v>
      </c>
      <c r="I26" s="54" t="s">
        <v>36</v>
      </c>
      <c r="J26" s="54" t="s">
        <v>149</v>
      </c>
      <c r="K26" s="54" t="s">
        <v>149</v>
      </c>
      <c r="L26" s="54"/>
      <c r="M26" s="54" t="s">
        <v>150</v>
      </c>
      <c r="N26" s="54" t="s">
        <v>36</v>
      </c>
      <c r="O26" s="54" t="s">
        <v>36</v>
      </c>
    </row>
    <row r="27" spans="1:15" ht="12.75">
      <c r="A27" s="280">
        <v>1</v>
      </c>
      <c r="B27" s="280">
        <f aca="true" t="shared" si="1" ref="B27:O27">A27+1</f>
        <v>2</v>
      </c>
      <c r="C27" s="280">
        <f t="shared" si="1"/>
        <v>3</v>
      </c>
      <c r="D27" s="280">
        <f t="shared" si="1"/>
        <v>4</v>
      </c>
      <c r="E27" s="280">
        <f t="shared" si="1"/>
        <v>5</v>
      </c>
      <c r="F27" s="280">
        <f t="shared" si="1"/>
        <v>6</v>
      </c>
      <c r="G27" s="281">
        <f t="shared" si="1"/>
        <v>7</v>
      </c>
      <c r="H27" s="281">
        <f t="shared" si="1"/>
        <v>8</v>
      </c>
      <c r="I27" s="281">
        <f t="shared" si="1"/>
        <v>9</v>
      </c>
      <c r="J27" s="281">
        <f t="shared" si="1"/>
        <v>10</v>
      </c>
      <c r="K27" s="282">
        <f t="shared" si="1"/>
        <v>11</v>
      </c>
      <c r="L27" s="282">
        <f t="shared" si="1"/>
        <v>12</v>
      </c>
      <c r="M27" s="282">
        <f t="shared" si="1"/>
        <v>13</v>
      </c>
      <c r="N27" s="282">
        <f t="shared" si="1"/>
        <v>14</v>
      </c>
      <c r="O27" s="282">
        <f t="shared" si="1"/>
        <v>15</v>
      </c>
    </row>
    <row r="28" spans="1:15" ht="12.75">
      <c r="A28" s="233"/>
      <c r="B28" s="234"/>
      <c r="C28" s="234"/>
      <c r="D28" s="284"/>
      <c r="E28" s="284"/>
      <c r="F28" s="285" t="e">
        <f>ROUND(E28/D28*100,1)</f>
        <v>#DIV/0!</v>
      </c>
      <c r="G28" s="286">
        <f>'норм отопл  (2-1) '!I24</f>
        <v>0</v>
      </c>
      <c r="H28" s="287">
        <f>ROUND(D28*G28,3)</f>
        <v>0</v>
      </c>
      <c r="I28" s="287">
        <f>ROUND(E28*G28,3)</f>
        <v>0</v>
      </c>
      <c r="J28" s="284"/>
      <c r="K28" s="284"/>
      <c r="L28" s="285" t="e">
        <f>ROUND(K28/J28*100,1)</f>
        <v>#DIV/0!</v>
      </c>
      <c r="M28" s="286">
        <f>'норм отопл  (2-1) '!N24</f>
        <v>0</v>
      </c>
      <c r="N28" s="287">
        <f>ROUND(J28*M28,3)</f>
        <v>0</v>
      </c>
      <c r="O28" s="287">
        <f>ROUND(K28*M28,3)</f>
        <v>0</v>
      </c>
    </row>
    <row r="29" spans="1:15" ht="12.75">
      <c r="A29" s="233"/>
      <c r="B29" s="234">
        <f>'норм отопл  (2-1) '!B25</f>
        <v>0</v>
      </c>
      <c r="C29" s="234">
        <f>'норм отопл  (2-1) '!C25</f>
        <v>0</v>
      </c>
      <c r="D29" s="284"/>
      <c r="E29" s="284"/>
      <c r="F29" s="285" t="e">
        <f>ROUND(E29/D29*100,1)</f>
        <v>#DIV/0!</v>
      </c>
      <c r="G29" s="286">
        <f>'норм отопл  (2-1) '!I25</f>
        <v>0</v>
      </c>
      <c r="H29" s="287">
        <f>ROUND(D29*G29,3)</f>
        <v>0</v>
      </c>
      <c r="I29" s="287">
        <f>ROUND(E29*G29,3)</f>
        <v>0</v>
      </c>
      <c r="J29" s="288"/>
      <c r="K29" s="288"/>
      <c r="L29" s="285" t="e">
        <f>ROUND(K29/J29*100,1)</f>
        <v>#DIV/0!</v>
      </c>
      <c r="M29" s="286">
        <f>'норм отопл  (2-1) '!N25</f>
        <v>0</v>
      </c>
      <c r="N29" s="287">
        <f>ROUND(J29*M29,3)</f>
        <v>0</v>
      </c>
      <c r="O29" s="287">
        <f>ROUND(K29*M29,3)</f>
        <v>0</v>
      </c>
    </row>
    <row r="30" spans="1:15" ht="12.75">
      <c r="A30" s="233"/>
      <c r="B30" s="234">
        <f>'норм отопл  (2-1) '!B26</f>
        <v>0</v>
      </c>
      <c r="C30" s="234">
        <f>'норм отопл  (2-1) '!C26</f>
        <v>0</v>
      </c>
      <c r="D30" s="284"/>
      <c r="E30" s="284"/>
      <c r="F30" s="285" t="e">
        <f>ROUND(E30/D30*100,1)</f>
        <v>#DIV/0!</v>
      </c>
      <c r="G30" s="286">
        <f>'норм отопл  (2-1) '!I26</f>
        <v>0</v>
      </c>
      <c r="H30" s="287">
        <f>ROUND(D30*G30,3)</f>
        <v>0</v>
      </c>
      <c r="I30" s="287">
        <f>ROUND(E30*G30,3)</f>
        <v>0</v>
      </c>
      <c r="J30" s="288"/>
      <c r="K30" s="288"/>
      <c r="L30" s="285" t="e">
        <f>ROUND(K30/J30*100,1)</f>
        <v>#DIV/0!</v>
      </c>
      <c r="M30" s="286">
        <f>'норм отопл  (2-1) '!N26</f>
        <v>0</v>
      </c>
      <c r="N30" s="287">
        <f>ROUND(J30*M30,3)</f>
        <v>0</v>
      </c>
      <c r="O30" s="287">
        <f>ROUND(K30*M30,3)</f>
        <v>0</v>
      </c>
    </row>
    <row r="31" spans="1:15" ht="30" customHeight="1">
      <c r="A31" s="894" t="s">
        <v>121</v>
      </c>
      <c r="B31" s="894"/>
      <c r="C31" s="894"/>
      <c r="D31" s="290" t="e">
        <f>ROUND(H31/G31,6)</f>
        <v>#DIV/0!</v>
      </c>
      <c r="E31" s="290" t="e">
        <f>ROUND(I31/G31,6)</f>
        <v>#DIV/0!</v>
      </c>
      <c r="F31" s="291" t="e">
        <f>ROUND(E31/D31*100,1)</f>
        <v>#DIV/0!</v>
      </c>
      <c r="G31" s="292">
        <f>SUM(G28:G30)</f>
        <v>0</v>
      </c>
      <c r="H31" s="293">
        <f>SUM(H28:H30)</f>
        <v>0</v>
      </c>
      <c r="I31" s="293">
        <f>SUM(I28:I30)</f>
        <v>0</v>
      </c>
      <c r="J31" s="294" t="e">
        <f>ROUND(N31/M31,6)</f>
        <v>#DIV/0!</v>
      </c>
      <c r="K31" s="294" t="e">
        <f>ROUND(O31/M31,6)</f>
        <v>#DIV/0!</v>
      </c>
      <c r="L31" s="291" t="e">
        <f>ROUND(K31/J31*100,1)</f>
        <v>#DIV/0!</v>
      </c>
      <c r="M31" s="292">
        <f>SUM(M28:M30)</f>
        <v>0</v>
      </c>
      <c r="N31" s="293">
        <f>SUM(N28:N30)</f>
        <v>0</v>
      </c>
      <c r="O31" s="293">
        <f>SUM(O28:O30)</f>
        <v>0</v>
      </c>
    </row>
    <row r="33" spans="1:15" ht="15.75" customHeight="1">
      <c r="A33" s="274"/>
      <c r="B33" s="904" t="s">
        <v>136</v>
      </c>
      <c r="C33" s="904"/>
      <c r="D33" s="274"/>
      <c r="E33" s="274"/>
      <c r="F33" s="221"/>
      <c r="G33" s="222"/>
      <c r="H33" s="222"/>
      <c r="I33" s="222"/>
      <c r="J33" s="222"/>
      <c r="K33" s="222"/>
      <c r="L33" s="222"/>
      <c r="M33" s="274"/>
      <c r="N33" s="274"/>
      <c r="O33" s="274"/>
    </row>
    <row r="34" spans="1:15" ht="15.75">
      <c r="A34" s="274"/>
      <c r="B34" s="275" t="s">
        <v>128</v>
      </c>
      <c r="C34" s="275"/>
      <c r="D34" s="274"/>
      <c r="E34" s="274"/>
      <c r="F34" s="221"/>
      <c r="G34" s="222"/>
      <c r="H34" s="222"/>
      <c r="I34" s="222"/>
      <c r="J34" s="222"/>
      <c r="K34" s="222"/>
      <c r="L34" s="222"/>
      <c r="M34" s="274"/>
      <c r="N34" s="274"/>
      <c r="O34" s="274"/>
    </row>
    <row r="35" spans="1:15" ht="15.75" customHeight="1">
      <c r="A35" s="274"/>
      <c r="B35" s="901" t="s">
        <v>104</v>
      </c>
      <c r="C35" s="901"/>
      <c r="D35" s="901"/>
      <c r="E35" s="901"/>
      <c r="F35" s="901"/>
      <c r="G35" s="901"/>
      <c r="H35" s="901"/>
      <c r="I35" s="901"/>
      <c r="J35" s="901"/>
      <c r="K35" s="901"/>
      <c r="L35" s="901"/>
      <c r="M35" s="274"/>
      <c r="N35" s="274"/>
      <c r="O35" s="274"/>
    </row>
    <row r="36" ht="7.5" customHeight="1"/>
    <row r="37" spans="1:15" s="276" customFormat="1" ht="21.75" customHeight="1">
      <c r="A37" s="889" t="s">
        <v>105</v>
      </c>
      <c r="B37" s="889" t="s">
        <v>106</v>
      </c>
      <c r="C37" s="889" t="s">
        <v>107</v>
      </c>
      <c r="D37" s="898" t="s">
        <v>156</v>
      </c>
      <c r="E37" s="898"/>
      <c r="F37" s="898"/>
      <c r="G37" s="898"/>
      <c r="H37" s="898"/>
      <c r="I37" s="898"/>
      <c r="J37" s="903" t="s">
        <v>439</v>
      </c>
      <c r="K37" s="903"/>
      <c r="L37" s="903"/>
      <c r="M37" s="903"/>
      <c r="N37" s="903"/>
      <c r="O37" s="903"/>
    </row>
    <row r="38" spans="1:15" s="276" customFormat="1" ht="51" customHeight="1">
      <c r="A38" s="889"/>
      <c r="B38" s="889"/>
      <c r="C38" s="889"/>
      <c r="D38" s="896" t="s">
        <v>138</v>
      </c>
      <c r="E38" s="896" t="s">
        <v>139</v>
      </c>
      <c r="F38" s="896" t="s">
        <v>140</v>
      </c>
      <c r="G38" s="897" t="s">
        <v>141</v>
      </c>
      <c r="H38" s="897" t="s">
        <v>15</v>
      </c>
      <c r="I38" s="897"/>
      <c r="J38" s="900" t="s">
        <v>142</v>
      </c>
      <c r="K38" s="895" t="s">
        <v>143</v>
      </c>
      <c r="L38" s="896" t="s">
        <v>140</v>
      </c>
      <c r="M38" s="897" t="s">
        <v>144</v>
      </c>
      <c r="N38" s="897" t="s">
        <v>15</v>
      </c>
      <c r="O38" s="897"/>
    </row>
    <row r="39" spans="1:15" s="276" customFormat="1" ht="153" customHeight="1">
      <c r="A39" s="889"/>
      <c r="B39" s="889"/>
      <c r="C39" s="889"/>
      <c r="D39" s="896"/>
      <c r="E39" s="896"/>
      <c r="F39" s="896"/>
      <c r="G39" s="897"/>
      <c r="H39" s="277" t="s">
        <v>145</v>
      </c>
      <c r="I39" s="278" t="s">
        <v>146</v>
      </c>
      <c r="J39" s="900"/>
      <c r="K39" s="895"/>
      <c r="L39" s="896"/>
      <c r="M39" s="897"/>
      <c r="N39" s="277" t="s">
        <v>147</v>
      </c>
      <c r="O39" s="277" t="s">
        <v>148</v>
      </c>
    </row>
    <row r="40" spans="1:15" s="279" customFormat="1" ht="12" customHeight="1">
      <c r="A40" s="889"/>
      <c r="B40" s="889"/>
      <c r="C40" s="889"/>
      <c r="D40" s="54" t="s">
        <v>149</v>
      </c>
      <c r="E40" s="54" t="s">
        <v>149</v>
      </c>
      <c r="F40" s="54"/>
      <c r="G40" s="54" t="s">
        <v>150</v>
      </c>
      <c r="H40" s="54" t="s">
        <v>36</v>
      </c>
      <c r="I40" s="54" t="s">
        <v>36</v>
      </c>
      <c r="J40" s="54" t="s">
        <v>149</v>
      </c>
      <c r="K40" s="54" t="s">
        <v>149</v>
      </c>
      <c r="L40" s="54"/>
      <c r="M40" s="54" t="s">
        <v>150</v>
      </c>
      <c r="N40" s="54" t="s">
        <v>36</v>
      </c>
      <c r="O40" s="54" t="s">
        <v>36</v>
      </c>
    </row>
    <row r="41" spans="1:15" s="283" customFormat="1" ht="11.25">
      <c r="A41" s="280">
        <v>1</v>
      </c>
      <c r="B41" s="280">
        <f aca="true" t="shared" si="2" ref="B41:O41">A41+1</f>
        <v>2</v>
      </c>
      <c r="C41" s="280">
        <f t="shared" si="2"/>
        <v>3</v>
      </c>
      <c r="D41" s="280">
        <f t="shared" si="2"/>
        <v>4</v>
      </c>
      <c r="E41" s="280">
        <f t="shared" si="2"/>
        <v>5</v>
      </c>
      <c r="F41" s="280">
        <f t="shared" si="2"/>
        <v>6</v>
      </c>
      <c r="G41" s="281">
        <f t="shared" si="2"/>
        <v>7</v>
      </c>
      <c r="H41" s="281">
        <f t="shared" si="2"/>
        <v>8</v>
      </c>
      <c r="I41" s="281">
        <f t="shared" si="2"/>
        <v>9</v>
      </c>
      <c r="J41" s="281">
        <f t="shared" si="2"/>
        <v>10</v>
      </c>
      <c r="K41" s="282">
        <f t="shared" si="2"/>
        <v>11</v>
      </c>
      <c r="L41" s="282">
        <f t="shared" si="2"/>
        <v>12</v>
      </c>
      <c r="M41" s="282">
        <f t="shared" si="2"/>
        <v>13</v>
      </c>
      <c r="N41" s="282">
        <f t="shared" si="2"/>
        <v>14</v>
      </c>
      <c r="O41" s="282">
        <f t="shared" si="2"/>
        <v>15</v>
      </c>
    </row>
    <row r="42" spans="1:15" s="289" customFormat="1" ht="12.75">
      <c r="A42" s="233">
        <v>1</v>
      </c>
      <c r="B42" s="234" t="s">
        <v>418</v>
      </c>
      <c r="C42" s="234" t="s">
        <v>419</v>
      </c>
      <c r="D42" s="284">
        <v>2411.05</v>
      </c>
      <c r="E42" s="284">
        <v>2022.75</v>
      </c>
      <c r="F42" s="285">
        <f>ROUND(E42/D42*100,1)</f>
        <v>83.9</v>
      </c>
      <c r="G42" s="286">
        <f>'норм отопл  (2-1) '!I37</f>
        <v>0.1459</v>
      </c>
      <c r="H42" s="287">
        <f>ROUND(D42*G42,3)</f>
        <v>351.772</v>
      </c>
      <c r="I42" s="287">
        <f>ROUND(E42*G42,3)</f>
        <v>295.119</v>
      </c>
      <c r="J42" s="288"/>
      <c r="K42" s="288"/>
      <c r="L42" s="285" t="e">
        <f>ROUND(K42/J42*100,1)</f>
        <v>#DIV/0!</v>
      </c>
      <c r="M42" s="286">
        <f>'норм отопл  (2-1) '!N40</f>
        <v>0</v>
      </c>
      <c r="N42" s="287">
        <f>ROUND(J42*M42,3)</f>
        <v>0</v>
      </c>
      <c r="O42" s="287">
        <f>ROUND(K42*M42,3)</f>
        <v>0</v>
      </c>
    </row>
    <row r="43" spans="1:15" s="289" customFormat="1" ht="12.75">
      <c r="A43" s="233"/>
      <c r="B43" s="234">
        <f>'норм отопл  (2-1) '!B41</f>
        <v>0</v>
      </c>
      <c r="C43" s="234">
        <f>'норм отопл  (2-1) '!C41</f>
        <v>0</v>
      </c>
      <c r="D43" s="284">
        <v>2411.05</v>
      </c>
      <c r="E43" s="284">
        <v>2022.75</v>
      </c>
      <c r="F43" s="285">
        <f>ROUND(E43/D43*100,1)</f>
        <v>83.9</v>
      </c>
      <c r="G43" s="286">
        <f>'норм отопл  (2-1) '!I38</f>
        <v>0.04983</v>
      </c>
      <c r="H43" s="287">
        <f>ROUND(D43*G43,3)</f>
        <v>120.143</v>
      </c>
      <c r="I43" s="287">
        <f>ROUND(E43*G43,3)</f>
        <v>100.794</v>
      </c>
      <c r="J43" s="288"/>
      <c r="K43" s="288"/>
      <c r="L43" s="285" t="e">
        <f>ROUND(K43/J43*100,1)</f>
        <v>#DIV/0!</v>
      </c>
      <c r="M43" s="286">
        <f>'норм отопл  (2-1) '!N41</f>
        <v>0</v>
      </c>
      <c r="N43" s="287">
        <f>ROUND(J43*M43,3)</f>
        <v>0</v>
      </c>
      <c r="O43" s="287">
        <f>ROUND(K43*M43,3)</f>
        <v>0</v>
      </c>
    </row>
    <row r="44" spans="1:15" s="289" customFormat="1" ht="12.75">
      <c r="A44" s="233"/>
      <c r="B44" s="234"/>
      <c r="C44" s="234">
        <f>'норм отопл  (2-1) '!C42</f>
        <v>0</v>
      </c>
      <c r="D44" s="284">
        <v>2411.05</v>
      </c>
      <c r="E44" s="284">
        <v>2022.75</v>
      </c>
      <c r="F44" s="285">
        <f>ROUND(E44/D44*100,1)</f>
        <v>83.9</v>
      </c>
      <c r="G44" s="286">
        <f>'норм отопл  (2-1) '!I39</f>
        <v>0.02134</v>
      </c>
      <c r="H44" s="287">
        <f>ROUND(D44*G44,3)</f>
        <v>51.452</v>
      </c>
      <c r="I44" s="287">
        <f>ROUND(E44*G44,3)</f>
        <v>43.165</v>
      </c>
      <c r="J44" s="288"/>
      <c r="K44" s="288"/>
      <c r="L44" s="285" t="e">
        <f>ROUND(K44/J44*100,1)</f>
        <v>#DIV/0!</v>
      </c>
      <c r="M44" s="286">
        <f>'норм отопл  (2-1) '!N42</f>
        <v>0</v>
      </c>
      <c r="N44" s="287">
        <f>ROUND(J44*M44,3)</f>
        <v>0</v>
      </c>
      <c r="O44" s="287">
        <f>ROUND(K44*M44,3)</f>
        <v>0</v>
      </c>
    </row>
    <row r="45" spans="1:15" s="245" customFormat="1" ht="28.5" customHeight="1">
      <c r="A45" s="894" t="s">
        <v>121</v>
      </c>
      <c r="B45" s="894"/>
      <c r="C45" s="894"/>
      <c r="D45" s="290">
        <f>ROUND(H45/G45,6)</f>
        <v>2411.051734</v>
      </c>
      <c r="E45" s="290">
        <f>ROUND(I45/G45,6)</f>
        <v>2022.748422</v>
      </c>
      <c r="F45" s="291">
        <f>ROUND(E45/D45*100,1)</f>
        <v>83.9</v>
      </c>
      <c r="G45" s="292">
        <f>SUM(G42:G44)</f>
        <v>0.21707</v>
      </c>
      <c r="H45" s="293">
        <f>SUM(H42:H44)</f>
        <v>523.367</v>
      </c>
      <c r="I45" s="293">
        <f>SUM(I42:I44)</f>
        <v>439.07800000000003</v>
      </c>
      <c r="J45" s="294" t="e">
        <f>ROUND(N45/M45,6)</f>
        <v>#DIV/0!</v>
      </c>
      <c r="K45" s="294" t="e">
        <f>ROUND(O45/M45,6)</f>
        <v>#DIV/0!</v>
      </c>
      <c r="L45" s="291" t="e">
        <f>ROUND(K45/J45*100,1)</f>
        <v>#DIV/0!</v>
      </c>
      <c r="M45" s="292">
        <f>SUM(M42:M44)</f>
        <v>0</v>
      </c>
      <c r="N45" s="293">
        <f>SUM(N42:N44)</f>
        <v>0</v>
      </c>
      <c r="O45" s="293">
        <f>SUM(O42:O44)</f>
        <v>0</v>
      </c>
    </row>
    <row r="46" spans="1:9" ht="12.75">
      <c r="A46" s="246"/>
      <c r="B46" s="246"/>
      <c r="D46" s="295"/>
      <c r="E46" s="265"/>
      <c r="F46" s="265"/>
      <c r="H46" s="265"/>
      <c r="I46" s="265"/>
    </row>
    <row r="48" ht="12.75">
      <c r="B48" s="247" t="s">
        <v>122</v>
      </c>
    </row>
    <row r="50" spans="1:15" ht="26.25" customHeight="1">
      <c r="A50" s="889" t="s">
        <v>105</v>
      </c>
      <c r="B50" s="889" t="s">
        <v>106</v>
      </c>
      <c r="C50" s="889" t="s">
        <v>107</v>
      </c>
      <c r="D50" s="898" t="s">
        <v>156</v>
      </c>
      <c r="E50" s="898"/>
      <c r="F50" s="898"/>
      <c r="G50" s="898"/>
      <c r="H50" s="898"/>
      <c r="I50" s="898"/>
      <c r="J50" s="903" t="s">
        <v>439</v>
      </c>
      <c r="K50" s="903"/>
      <c r="L50" s="903"/>
      <c r="M50" s="903"/>
      <c r="N50" s="903"/>
      <c r="O50" s="903"/>
    </row>
    <row r="51" spans="1:15" ht="48.75" customHeight="1">
      <c r="A51" s="889"/>
      <c r="B51" s="889"/>
      <c r="C51" s="889"/>
      <c r="D51" s="896" t="s">
        <v>138</v>
      </c>
      <c r="E51" s="896" t="s">
        <v>139</v>
      </c>
      <c r="F51" s="896" t="s">
        <v>140</v>
      </c>
      <c r="G51" s="897" t="s">
        <v>151</v>
      </c>
      <c r="H51" s="897" t="s">
        <v>15</v>
      </c>
      <c r="I51" s="897"/>
      <c r="J51" s="900" t="s">
        <v>142</v>
      </c>
      <c r="K51" s="895" t="s">
        <v>143</v>
      </c>
      <c r="L51" s="896" t="s">
        <v>140</v>
      </c>
      <c r="M51" s="897" t="s">
        <v>152</v>
      </c>
      <c r="N51" s="897" t="s">
        <v>15</v>
      </c>
      <c r="O51" s="897"/>
    </row>
    <row r="52" spans="1:15" ht="127.5">
      <c r="A52" s="889"/>
      <c r="B52" s="889"/>
      <c r="C52" s="889"/>
      <c r="D52" s="896"/>
      <c r="E52" s="896"/>
      <c r="F52" s="896"/>
      <c r="G52" s="897"/>
      <c r="H52" s="277" t="s">
        <v>153</v>
      </c>
      <c r="I52" s="277" t="s">
        <v>154</v>
      </c>
      <c r="J52" s="900"/>
      <c r="K52" s="895"/>
      <c r="L52" s="896"/>
      <c r="M52" s="897"/>
      <c r="N52" s="277" t="s">
        <v>147</v>
      </c>
      <c r="O52" s="277" t="s">
        <v>155</v>
      </c>
    </row>
    <row r="53" spans="1:15" ht="12.75">
      <c r="A53" s="889"/>
      <c r="B53" s="889"/>
      <c r="C53" s="889"/>
      <c r="D53" s="54" t="s">
        <v>149</v>
      </c>
      <c r="E53" s="54" t="s">
        <v>149</v>
      </c>
      <c r="F53" s="54"/>
      <c r="G53" s="54" t="s">
        <v>150</v>
      </c>
      <c r="H53" s="54" t="s">
        <v>36</v>
      </c>
      <c r="I53" s="54" t="s">
        <v>36</v>
      </c>
      <c r="J53" s="54" t="s">
        <v>149</v>
      </c>
      <c r="K53" s="54" t="s">
        <v>149</v>
      </c>
      <c r="L53" s="54"/>
      <c r="M53" s="54" t="s">
        <v>150</v>
      </c>
      <c r="N53" s="54" t="s">
        <v>36</v>
      </c>
      <c r="O53" s="54" t="s">
        <v>36</v>
      </c>
    </row>
    <row r="54" spans="1:15" ht="12.75">
      <c r="A54" s="280">
        <v>1</v>
      </c>
      <c r="B54" s="280">
        <f aca="true" t="shared" si="3" ref="B54:O54">A54+1</f>
        <v>2</v>
      </c>
      <c r="C54" s="280">
        <f t="shared" si="3"/>
        <v>3</v>
      </c>
      <c r="D54" s="280">
        <f t="shared" si="3"/>
        <v>4</v>
      </c>
      <c r="E54" s="280">
        <f t="shared" si="3"/>
        <v>5</v>
      </c>
      <c r="F54" s="280">
        <f t="shared" si="3"/>
        <v>6</v>
      </c>
      <c r="G54" s="281">
        <f t="shared" si="3"/>
        <v>7</v>
      </c>
      <c r="H54" s="281">
        <f t="shared" si="3"/>
        <v>8</v>
      </c>
      <c r="I54" s="281">
        <f t="shared" si="3"/>
        <v>9</v>
      </c>
      <c r="J54" s="281">
        <f t="shared" si="3"/>
        <v>10</v>
      </c>
      <c r="K54" s="282">
        <f t="shared" si="3"/>
        <v>11</v>
      </c>
      <c r="L54" s="282">
        <f t="shared" si="3"/>
        <v>12</v>
      </c>
      <c r="M54" s="282">
        <f t="shared" si="3"/>
        <v>13</v>
      </c>
      <c r="N54" s="282">
        <f t="shared" si="3"/>
        <v>14</v>
      </c>
      <c r="O54" s="282">
        <f t="shared" si="3"/>
        <v>15</v>
      </c>
    </row>
    <row r="55" spans="1:15" ht="12.75">
      <c r="A55" s="233"/>
      <c r="B55" s="234">
        <f>'норм отопл  (2-1) '!B51</f>
        <v>0</v>
      </c>
      <c r="C55" s="234">
        <f>'норм отопл  (2-1) '!C51</f>
        <v>0</v>
      </c>
      <c r="D55" s="284"/>
      <c r="E55" s="284"/>
      <c r="F55" s="285" t="e">
        <f>ROUND(E55/D55*100,1)</f>
        <v>#DIV/0!</v>
      </c>
      <c r="G55" s="286">
        <f>'норм отопл  (2-1) '!I51</f>
        <v>0</v>
      </c>
      <c r="H55" s="287">
        <f>ROUND(D55*G55,3)</f>
        <v>0</v>
      </c>
      <c r="I55" s="287">
        <f>ROUND(E55*G55,3)</f>
        <v>0</v>
      </c>
      <c r="J55" s="284"/>
      <c r="K55" s="284"/>
      <c r="L55" s="285" t="e">
        <f>ROUND(K55/J55*100,1)</f>
        <v>#DIV/0!</v>
      </c>
      <c r="M55" s="286">
        <f>'норм отопл  (2-1) '!N51</f>
        <v>0</v>
      </c>
      <c r="N55" s="287">
        <f>ROUND(J55*M55,3)</f>
        <v>0</v>
      </c>
      <c r="O55" s="287">
        <f>ROUND(K55*M55,3)</f>
        <v>0</v>
      </c>
    </row>
    <row r="56" spans="1:15" ht="12.75">
      <c r="A56" s="233"/>
      <c r="B56" s="234">
        <f>'норм отопл  (2-1) '!B52</f>
        <v>0</v>
      </c>
      <c r="C56" s="234">
        <f>'норм отопл  (2-1) '!C52</f>
        <v>0</v>
      </c>
      <c r="D56" s="284"/>
      <c r="E56" s="284"/>
      <c r="F56" s="285" t="e">
        <f>ROUND(E56/D56*100,1)</f>
        <v>#DIV/0!</v>
      </c>
      <c r="G56" s="286">
        <f>'норм отопл  (2-1) '!I52</f>
        <v>0</v>
      </c>
      <c r="H56" s="287">
        <f>ROUND(D56*G56,3)</f>
        <v>0</v>
      </c>
      <c r="I56" s="287">
        <f>ROUND(E56*G56,3)</f>
        <v>0</v>
      </c>
      <c r="J56" s="288"/>
      <c r="K56" s="288"/>
      <c r="L56" s="285" t="e">
        <f>ROUND(K56/J56*100,1)</f>
        <v>#DIV/0!</v>
      </c>
      <c r="M56" s="286">
        <f>'норм отопл  (2-1) '!N52</f>
        <v>0</v>
      </c>
      <c r="N56" s="287">
        <f>ROUND(J56*M56,3)</f>
        <v>0</v>
      </c>
      <c r="O56" s="287">
        <f>ROUND(K56*M56,3)</f>
        <v>0</v>
      </c>
    </row>
    <row r="57" spans="1:15" ht="12.75">
      <c r="A57" s="233"/>
      <c r="B57" s="234"/>
      <c r="C57" s="234">
        <f>'норм отопл  (2-1) '!C53</f>
        <v>0</v>
      </c>
      <c r="D57" s="284"/>
      <c r="E57" s="284"/>
      <c r="F57" s="285" t="e">
        <f>ROUND(E57/D57*100,1)</f>
        <v>#DIV/0!</v>
      </c>
      <c r="G57" s="286">
        <f>'норм отопл  (2-1) '!I53</f>
        <v>0</v>
      </c>
      <c r="H57" s="287">
        <f>ROUND(D57*G57,3)</f>
        <v>0</v>
      </c>
      <c r="I57" s="287">
        <f>ROUND(E57*G57,3)</f>
        <v>0</v>
      </c>
      <c r="J57" s="288"/>
      <c r="K57" s="288"/>
      <c r="L57" s="285" t="e">
        <f>ROUND(K57/J57*100,1)</f>
        <v>#DIV/0!</v>
      </c>
      <c r="M57" s="286">
        <f>'норм отопл  (2-1) '!N53</f>
        <v>0</v>
      </c>
      <c r="N57" s="287">
        <f>ROUND(J57*M57,3)</f>
        <v>0</v>
      </c>
      <c r="O57" s="287">
        <f>ROUND(K57*M57,3)</f>
        <v>0</v>
      </c>
    </row>
    <row r="58" spans="1:15" ht="30" customHeight="1">
      <c r="A58" s="894" t="s">
        <v>121</v>
      </c>
      <c r="B58" s="894"/>
      <c r="C58" s="894"/>
      <c r="D58" s="290" t="e">
        <f>ROUND(H58/G58,6)</f>
        <v>#DIV/0!</v>
      </c>
      <c r="E58" s="290" t="e">
        <f>ROUND(I58/G58,6)</f>
        <v>#DIV/0!</v>
      </c>
      <c r="F58" s="291" t="e">
        <f>ROUND(E58/D58*100,1)</f>
        <v>#DIV/0!</v>
      </c>
      <c r="G58" s="292">
        <f>SUM(G55:G57)</f>
        <v>0</v>
      </c>
      <c r="H58" s="293">
        <f>SUM(H55:H57)</f>
        <v>0</v>
      </c>
      <c r="I58" s="293">
        <f>SUM(I55:I57)</f>
        <v>0</v>
      </c>
      <c r="J58" s="294" t="e">
        <f>ROUND(N58/M58,6)</f>
        <v>#DIV/0!</v>
      </c>
      <c r="K58" s="294" t="e">
        <f>ROUND(O58/M58,6)</f>
        <v>#DIV/0!</v>
      </c>
      <c r="L58" s="291" t="e">
        <f>ROUND(K58/J58*100,1)</f>
        <v>#DIV/0!</v>
      </c>
      <c r="M58" s="292">
        <f>SUM(M55:M57)</f>
        <v>0</v>
      </c>
      <c r="N58" s="293">
        <f>SUM(N55:N57)</f>
        <v>0</v>
      </c>
      <c r="O58" s="293">
        <f>SUM(O55:O57)</f>
        <v>0</v>
      </c>
    </row>
    <row r="59" spans="1:15" ht="15.75" customHeight="1">
      <c r="A59" s="274"/>
      <c r="B59" s="902" t="s">
        <v>157</v>
      </c>
      <c r="C59" s="902"/>
      <c r="D59" s="274"/>
      <c r="E59" s="274"/>
      <c r="F59" s="221"/>
      <c r="G59" s="222"/>
      <c r="H59" s="222"/>
      <c r="I59" s="222"/>
      <c r="J59" s="222"/>
      <c r="K59" s="222"/>
      <c r="L59" s="222"/>
      <c r="M59" s="274"/>
      <c r="N59" s="274"/>
      <c r="O59" s="274"/>
    </row>
    <row r="60" spans="1:15" ht="15.75">
      <c r="A60" s="274"/>
      <c r="B60" s="296" t="s">
        <v>128</v>
      </c>
      <c r="C60" s="296"/>
      <c r="D60" s="274"/>
      <c r="E60" s="274"/>
      <c r="F60" s="221"/>
      <c r="G60" s="222"/>
      <c r="H60" s="222"/>
      <c r="I60" s="222"/>
      <c r="J60" s="222"/>
      <c r="K60" s="222"/>
      <c r="L60" s="222"/>
      <c r="M60" s="274"/>
      <c r="N60" s="274"/>
      <c r="O60" s="274"/>
    </row>
    <row r="61" spans="1:15" ht="15.75" customHeight="1">
      <c r="A61" s="274"/>
      <c r="B61" s="901" t="s">
        <v>104</v>
      </c>
      <c r="C61" s="901"/>
      <c r="D61" s="901"/>
      <c r="E61" s="901"/>
      <c r="F61" s="901"/>
      <c r="G61" s="901"/>
      <c r="H61" s="901"/>
      <c r="I61" s="901"/>
      <c r="J61" s="901"/>
      <c r="K61" s="901"/>
      <c r="L61" s="901"/>
      <c r="M61" s="274"/>
      <c r="N61" s="274"/>
      <c r="O61" s="274"/>
    </row>
    <row r="62" ht="7.5" customHeight="1"/>
    <row r="63" spans="1:15" s="276" customFormat="1" ht="29.25" customHeight="1">
      <c r="A63" s="889" t="s">
        <v>105</v>
      </c>
      <c r="B63" s="889" t="s">
        <v>106</v>
      </c>
      <c r="C63" s="889" t="s">
        <v>107</v>
      </c>
      <c r="D63" s="898" t="s">
        <v>131</v>
      </c>
      <c r="E63" s="898"/>
      <c r="F63" s="898"/>
      <c r="G63" s="898"/>
      <c r="H63" s="898"/>
      <c r="I63" s="898"/>
      <c r="J63" s="899" t="s">
        <v>430</v>
      </c>
      <c r="K63" s="899"/>
      <c r="L63" s="899"/>
      <c r="M63" s="899"/>
      <c r="N63" s="899"/>
      <c r="O63" s="899"/>
    </row>
    <row r="64" spans="1:15" s="276" customFormat="1" ht="51" customHeight="1">
      <c r="A64" s="889"/>
      <c r="B64" s="889"/>
      <c r="C64" s="889"/>
      <c r="D64" s="896" t="s">
        <v>138</v>
      </c>
      <c r="E64" s="896" t="s">
        <v>139</v>
      </c>
      <c r="F64" s="896" t="s">
        <v>140</v>
      </c>
      <c r="G64" s="897" t="s">
        <v>158</v>
      </c>
      <c r="H64" s="897" t="s">
        <v>15</v>
      </c>
      <c r="I64" s="897"/>
      <c r="J64" s="900" t="s">
        <v>142</v>
      </c>
      <c r="K64" s="895" t="s">
        <v>143</v>
      </c>
      <c r="L64" s="896" t="s">
        <v>140</v>
      </c>
      <c r="M64" s="897" t="s">
        <v>159</v>
      </c>
      <c r="N64" s="897" t="s">
        <v>15</v>
      </c>
      <c r="O64" s="897"/>
    </row>
    <row r="65" spans="1:15" s="276" customFormat="1" ht="153" customHeight="1">
      <c r="A65" s="889"/>
      <c r="B65" s="889"/>
      <c r="C65" s="889"/>
      <c r="D65" s="896"/>
      <c r="E65" s="896"/>
      <c r="F65" s="896"/>
      <c r="G65" s="897"/>
      <c r="H65" s="277" t="s">
        <v>145</v>
      </c>
      <c r="I65" s="278" t="s">
        <v>146</v>
      </c>
      <c r="J65" s="900"/>
      <c r="K65" s="895"/>
      <c r="L65" s="896"/>
      <c r="M65" s="897"/>
      <c r="N65" s="277" t="s">
        <v>147</v>
      </c>
      <c r="O65" s="277" t="s">
        <v>148</v>
      </c>
    </row>
    <row r="66" spans="1:15" s="279" customFormat="1" ht="12" customHeight="1">
      <c r="A66" s="889"/>
      <c r="B66" s="889"/>
      <c r="C66" s="889"/>
      <c r="D66" s="54" t="s">
        <v>149</v>
      </c>
      <c r="E66" s="54" t="s">
        <v>149</v>
      </c>
      <c r="F66" s="54"/>
      <c r="G66" s="54" t="s">
        <v>150</v>
      </c>
      <c r="H66" s="54" t="s">
        <v>36</v>
      </c>
      <c r="I66" s="54" t="s">
        <v>36</v>
      </c>
      <c r="J66" s="54" t="s">
        <v>149</v>
      </c>
      <c r="K66" s="54" t="s">
        <v>149</v>
      </c>
      <c r="L66" s="54"/>
      <c r="M66" s="54" t="s">
        <v>150</v>
      </c>
      <c r="N66" s="54" t="s">
        <v>36</v>
      </c>
      <c r="O66" s="54" t="s">
        <v>36</v>
      </c>
    </row>
    <row r="67" spans="1:15" s="283" customFormat="1" ht="11.25">
      <c r="A67" s="280">
        <v>1</v>
      </c>
      <c r="B67" s="280">
        <f aca="true" t="shared" si="4" ref="B67:O67">A67+1</f>
        <v>2</v>
      </c>
      <c r="C67" s="280">
        <f t="shared" si="4"/>
        <v>3</v>
      </c>
      <c r="D67" s="280">
        <f t="shared" si="4"/>
        <v>4</v>
      </c>
      <c r="E67" s="280">
        <f t="shared" si="4"/>
        <v>5</v>
      </c>
      <c r="F67" s="280">
        <f t="shared" si="4"/>
        <v>6</v>
      </c>
      <c r="G67" s="281">
        <f t="shared" si="4"/>
        <v>7</v>
      </c>
      <c r="H67" s="281">
        <f t="shared" si="4"/>
        <v>8</v>
      </c>
      <c r="I67" s="281">
        <f t="shared" si="4"/>
        <v>9</v>
      </c>
      <c r="J67" s="281">
        <f t="shared" si="4"/>
        <v>10</v>
      </c>
      <c r="K67" s="282">
        <f t="shared" si="4"/>
        <v>11</v>
      </c>
      <c r="L67" s="282">
        <f t="shared" si="4"/>
        <v>12</v>
      </c>
      <c r="M67" s="282">
        <f t="shared" si="4"/>
        <v>13</v>
      </c>
      <c r="N67" s="282">
        <f t="shared" si="4"/>
        <v>14</v>
      </c>
      <c r="O67" s="282">
        <f t="shared" si="4"/>
        <v>15</v>
      </c>
    </row>
    <row r="68" spans="1:15" s="289" customFormat="1" ht="12.75">
      <c r="A68" s="233">
        <v>1</v>
      </c>
      <c r="B68" s="234" t="str">
        <f>'норм отопл  (2-1) '!B61</f>
        <v>п.Рассвет</v>
      </c>
      <c r="C68" s="234" t="str">
        <f>'норм отопл  (2-1) '!C61</f>
        <v>ООО «Жилбытсервис»</v>
      </c>
      <c r="D68" s="284">
        <v>2411.05</v>
      </c>
      <c r="E68" s="284">
        <v>2022.75</v>
      </c>
      <c r="F68" s="285">
        <f>ROUND(E68/D68*100,1)</f>
        <v>83.9</v>
      </c>
      <c r="G68" s="286">
        <f>'норм отопл  (2-1) '!I61</f>
        <v>0.2918</v>
      </c>
      <c r="H68" s="287">
        <f>ROUND(D68*G68,3)</f>
        <v>703.544</v>
      </c>
      <c r="I68" s="287">
        <f>ROUND(E68*G68,3)</f>
        <v>590.238</v>
      </c>
      <c r="J68" s="288"/>
      <c r="K68" s="288"/>
      <c r="L68" s="285" t="e">
        <f>ROUND(K68/J68*100,1)</f>
        <v>#DIV/0!</v>
      </c>
      <c r="M68" s="286">
        <f>'норм отопл  (2-1) '!N61</f>
        <v>0</v>
      </c>
      <c r="N68" s="287">
        <f>ROUND(J68*M68,3)</f>
        <v>0</v>
      </c>
      <c r="O68" s="287">
        <f>ROUND(K68*M68,3)</f>
        <v>0</v>
      </c>
    </row>
    <row r="69" spans="1:15" s="289" customFormat="1" ht="12.75">
      <c r="A69" s="233">
        <v>1</v>
      </c>
      <c r="B69" s="234" t="s">
        <v>119</v>
      </c>
      <c r="C69" s="234" t="s">
        <v>120</v>
      </c>
      <c r="D69" s="284">
        <v>2411.05</v>
      </c>
      <c r="E69" s="284">
        <v>2022.75</v>
      </c>
      <c r="F69" s="285">
        <f>ROUND(E69/D69*100,1)</f>
        <v>83.9</v>
      </c>
      <c r="G69" s="286">
        <f>'норм отопл  (2-1) '!I62</f>
        <v>0.09965</v>
      </c>
      <c r="H69" s="287">
        <f>ROUND(D69*G69,3)</f>
        <v>240.261</v>
      </c>
      <c r="I69" s="287">
        <f>ROUND(E69*G69,3)</f>
        <v>201.567</v>
      </c>
      <c r="J69" s="288"/>
      <c r="K69" s="288"/>
      <c r="L69" s="285" t="e">
        <f>ROUND(K69/J69*100,1)</f>
        <v>#DIV/0!</v>
      </c>
      <c r="M69" s="286">
        <f>'норм отопл  (2-1) '!N62</f>
        <v>0</v>
      </c>
      <c r="N69" s="287">
        <f>ROUND(J69*M69,3)</f>
        <v>0</v>
      </c>
      <c r="O69" s="287">
        <f>ROUND(K69*M69,3)</f>
        <v>0</v>
      </c>
    </row>
    <row r="70" spans="1:15" s="289" customFormat="1" ht="12.75">
      <c r="A70" s="233"/>
      <c r="B70" s="234" t="s">
        <v>119</v>
      </c>
      <c r="C70" s="234" t="s">
        <v>120</v>
      </c>
      <c r="D70" s="284">
        <v>2411.05</v>
      </c>
      <c r="E70" s="284">
        <v>2022.75</v>
      </c>
      <c r="F70" s="285">
        <f>ROUND(E70/D70*100,1)</f>
        <v>83.9</v>
      </c>
      <c r="G70" s="286">
        <f>'норм отопл  (2-1) '!I63</f>
        <v>0.04269</v>
      </c>
      <c r="H70" s="287">
        <f>ROUND(D70*G70,3)</f>
        <v>102.928</v>
      </c>
      <c r="I70" s="287">
        <f>ROUND(E70*G70,3)</f>
        <v>86.351</v>
      </c>
      <c r="J70" s="288"/>
      <c r="K70" s="288"/>
      <c r="L70" s="285" t="e">
        <f>ROUND(K70/J70*100,1)</f>
        <v>#DIV/0!</v>
      </c>
      <c r="M70" s="286">
        <f>'норм отопл  (2-1) '!N63</f>
        <v>0</v>
      </c>
      <c r="N70" s="287">
        <f>ROUND(J70*M70,3)</f>
        <v>0</v>
      </c>
      <c r="O70" s="287">
        <f>ROUND(K70*M70,3)</f>
        <v>0</v>
      </c>
    </row>
    <row r="71" spans="1:15" s="245" customFormat="1" ht="28.5" customHeight="1">
      <c r="A71" s="894" t="s">
        <v>121</v>
      </c>
      <c r="B71" s="894"/>
      <c r="C71" s="894"/>
      <c r="D71" s="290">
        <f>ROUND(H71/G71,6)</f>
        <v>2411.049431</v>
      </c>
      <c r="E71" s="290">
        <f>ROUND(I71/G71,6)</f>
        <v>2022.748422</v>
      </c>
      <c r="F71" s="291">
        <f>ROUND(E71/D71*100,1)</f>
        <v>83.9</v>
      </c>
      <c r="G71" s="292">
        <f>SUM(G68:G70)</f>
        <v>0.43414</v>
      </c>
      <c r="H71" s="292">
        <f>SUM(H68:H70)</f>
        <v>1046.733</v>
      </c>
      <c r="I71" s="292">
        <f>SUM(I68:I70)</f>
        <v>878.1560000000001</v>
      </c>
      <c r="J71" s="294" t="e">
        <f>ROUND(N71/M71,6)</f>
        <v>#DIV/0!</v>
      </c>
      <c r="K71" s="294" t="e">
        <f>ROUND(O71/M71,6)</f>
        <v>#DIV/0!</v>
      </c>
      <c r="L71" s="291" t="e">
        <f>ROUND(K71/J71*100,1)</f>
        <v>#DIV/0!</v>
      </c>
      <c r="M71" s="292">
        <f>SUM(M68:M70)</f>
        <v>0</v>
      </c>
      <c r="N71" s="293">
        <f>SUM(N68:N70)</f>
        <v>0</v>
      </c>
      <c r="O71" s="293">
        <f>SUM(O68:O70)</f>
        <v>0</v>
      </c>
    </row>
    <row r="72" spans="1:9" ht="12.75">
      <c r="A72" s="246"/>
      <c r="B72" s="246"/>
      <c r="D72" s="295"/>
      <c r="E72" s="265"/>
      <c r="F72" s="265"/>
      <c r="H72" s="265"/>
      <c r="I72" s="265"/>
    </row>
    <row r="74" ht="12.75">
      <c r="B74" s="247" t="s">
        <v>122</v>
      </c>
    </row>
    <row r="76" spans="1:15" ht="24.75" customHeight="1">
      <c r="A76" s="889" t="s">
        <v>105</v>
      </c>
      <c r="B76" s="889" t="s">
        <v>106</v>
      </c>
      <c r="C76" s="889" t="s">
        <v>107</v>
      </c>
      <c r="D76" s="898" t="s">
        <v>131</v>
      </c>
      <c r="E76" s="898"/>
      <c r="F76" s="898"/>
      <c r="G76" s="898"/>
      <c r="H76" s="898"/>
      <c r="I76" s="898"/>
      <c r="J76" s="899" t="s">
        <v>430</v>
      </c>
      <c r="K76" s="899"/>
      <c r="L76" s="899"/>
      <c r="M76" s="899"/>
      <c r="N76" s="899"/>
      <c r="O76" s="899"/>
    </row>
    <row r="77" spans="1:15" ht="48.75" customHeight="1">
      <c r="A77" s="889"/>
      <c r="B77" s="889"/>
      <c r="C77" s="889"/>
      <c r="D77" s="896" t="s">
        <v>138</v>
      </c>
      <c r="E77" s="896" t="s">
        <v>139</v>
      </c>
      <c r="F77" s="896" t="s">
        <v>140</v>
      </c>
      <c r="G77" s="897" t="s">
        <v>160</v>
      </c>
      <c r="H77" s="897" t="s">
        <v>15</v>
      </c>
      <c r="I77" s="897"/>
      <c r="J77" s="900" t="s">
        <v>142</v>
      </c>
      <c r="K77" s="895" t="s">
        <v>143</v>
      </c>
      <c r="L77" s="896" t="s">
        <v>140</v>
      </c>
      <c r="M77" s="897" t="s">
        <v>161</v>
      </c>
      <c r="N77" s="897" t="s">
        <v>15</v>
      </c>
      <c r="O77" s="897"/>
    </row>
    <row r="78" spans="1:15" ht="127.5">
      <c r="A78" s="889"/>
      <c r="B78" s="889"/>
      <c r="C78" s="889"/>
      <c r="D78" s="896"/>
      <c r="E78" s="896"/>
      <c r="F78" s="896"/>
      <c r="G78" s="897"/>
      <c r="H78" s="277" t="s">
        <v>153</v>
      </c>
      <c r="I78" s="277" t="s">
        <v>154</v>
      </c>
      <c r="J78" s="900"/>
      <c r="K78" s="895"/>
      <c r="L78" s="896"/>
      <c r="M78" s="897"/>
      <c r="N78" s="277" t="s">
        <v>147</v>
      </c>
      <c r="O78" s="277" t="s">
        <v>155</v>
      </c>
    </row>
    <row r="79" spans="1:15" ht="12.75">
      <c r="A79" s="889"/>
      <c r="B79" s="889"/>
      <c r="C79" s="889"/>
      <c r="D79" s="54" t="s">
        <v>149</v>
      </c>
      <c r="E79" s="54" t="s">
        <v>149</v>
      </c>
      <c r="F79" s="54"/>
      <c r="G79" s="54" t="s">
        <v>150</v>
      </c>
      <c r="H79" s="54" t="s">
        <v>36</v>
      </c>
      <c r="I79" s="54" t="s">
        <v>36</v>
      </c>
      <c r="J79" s="54" t="s">
        <v>149</v>
      </c>
      <c r="K79" s="54" t="s">
        <v>149</v>
      </c>
      <c r="L79" s="54"/>
      <c r="M79" s="54" t="s">
        <v>150</v>
      </c>
      <c r="N79" s="54" t="s">
        <v>36</v>
      </c>
      <c r="O79" s="54" t="s">
        <v>36</v>
      </c>
    </row>
    <row r="80" spans="1:15" ht="12.75">
      <c r="A80" s="280">
        <v>1</v>
      </c>
      <c r="B80" s="280">
        <f aca="true" t="shared" si="5" ref="B80:O80">A80+1</f>
        <v>2</v>
      </c>
      <c r="C80" s="280">
        <f t="shared" si="5"/>
        <v>3</v>
      </c>
      <c r="D80" s="280">
        <f t="shared" si="5"/>
        <v>4</v>
      </c>
      <c r="E80" s="280">
        <f t="shared" si="5"/>
        <v>5</v>
      </c>
      <c r="F80" s="280">
        <f t="shared" si="5"/>
        <v>6</v>
      </c>
      <c r="G80" s="281">
        <f t="shared" si="5"/>
        <v>7</v>
      </c>
      <c r="H80" s="281">
        <f t="shared" si="5"/>
        <v>8</v>
      </c>
      <c r="I80" s="281">
        <f t="shared" si="5"/>
        <v>9</v>
      </c>
      <c r="J80" s="281">
        <f t="shared" si="5"/>
        <v>10</v>
      </c>
      <c r="K80" s="282">
        <f t="shared" si="5"/>
        <v>11</v>
      </c>
      <c r="L80" s="282">
        <f t="shared" si="5"/>
        <v>12</v>
      </c>
      <c r="M80" s="282">
        <f t="shared" si="5"/>
        <v>13</v>
      </c>
      <c r="N80" s="282">
        <f t="shared" si="5"/>
        <v>14</v>
      </c>
      <c r="O80" s="282">
        <f t="shared" si="5"/>
        <v>15</v>
      </c>
    </row>
    <row r="81" spans="1:15" ht="12.75">
      <c r="A81" s="233"/>
      <c r="B81" s="234"/>
      <c r="C81" s="234"/>
      <c r="D81" s="284"/>
      <c r="E81" s="284"/>
      <c r="F81" s="285" t="e">
        <f>ROUND(E81/D81*100,1)</f>
        <v>#DIV/0!</v>
      </c>
      <c r="G81" s="286">
        <f>'норм отопл  (2-1) '!I72</f>
        <v>0</v>
      </c>
      <c r="H81" s="287">
        <f>ROUND(D81*G81,3)</f>
        <v>0</v>
      </c>
      <c r="I81" s="287">
        <f>ROUND(E81*G81,3)</f>
        <v>0</v>
      </c>
      <c r="J81" s="284"/>
      <c r="K81" s="284"/>
      <c r="L81" s="285" t="e">
        <f>ROUND(K81/J81*100,1)</f>
        <v>#DIV/0!</v>
      </c>
      <c r="M81" s="286">
        <f>'норм отопл  (2-1) '!N72</f>
        <v>0</v>
      </c>
      <c r="N81" s="287">
        <f>ROUND(J81*M81,3)</f>
        <v>0</v>
      </c>
      <c r="O81" s="287">
        <f>ROUND(K81*M81,3)</f>
        <v>0</v>
      </c>
    </row>
    <row r="82" spans="1:15" ht="12.75">
      <c r="A82" s="233"/>
      <c r="B82" s="234">
        <f>'норм отопл  (2-1) '!B73</f>
        <v>0</v>
      </c>
      <c r="C82" s="234">
        <f>'норм отопл  (2-1) '!C73</f>
        <v>0</v>
      </c>
      <c r="D82" s="284"/>
      <c r="E82" s="284"/>
      <c r="F82" s="285" t="e">
        <f>ROUND(E82/D82*100,1)</f>
        <v>#DIV/0!</v>
      </c>
      <c r="G82" s="286">
        <f>'норм отопл  (2-1) '!I73</f>
        <v>0</v>
      </c>
      <c r="H82" s="287">
        <f>ROUND(D82*G82,3)</f>
        <v>0</v>
      </c>
      <c r="I82" s="287">
        <f>ROUND(E82*G82,3)</f>
        <v>0</v>
      </c>
      <c r="J82" s="288"/>
      <c r="K82" s="288"/>
      <c r="L82" s="285" t="e">
        <f>ROUND(K82/J82*100,1)</f>
        <v>#DIV/0!</v>
      </c>
      <c r="M82" s="286">
        <f>'норм отопл  (2-1) '!N73</f>
        <v>0</v>
      </c>
      <c r="N82" s="287">
        <f>ROUND(J82*M82,3)</f>
        <v>0</v>
      </c>
      <c r="O82" s="287">
        <f>ROUND(K82*M82,3)</f>
        <v>0</v>
      </c>
    </row>
    <row r="83" spans="1:15" ht="12.75">
      <c r="A83" s="233"/>
      <c r="B83" s="234">
        <f>'норм отопл  (2-1) '!B74</f>
        <v>0</v>
      </c>
      <c r="C83" s="234">
        <f>'норм отопл  (2-1) '!C74</f>
        <v>0</v>
      </c>
      <c r="D83" s="284"/>
      <c r="E83" s="284"/>
      <c r="F83" s="285" t="e">
        <f>ROUND(E83/D83*100,1)</f>
        <v>#DIV/0!</v>
      </c>
      <c r="G83" s="286">
        <f>'норм отопл  (2-1) '!I74</f>
        <v>0</v>
      </c>
      <c r="H83" s="287">
        <f>ROUND(D83*G83,3)</f>
        <v>0</v>
      </c>
      <c r="I83" s="287">
        <f>ROUND(E83*G83,3)</f>
        <v>0</v>
      </c>
      <c r="J83" s="288"/>
      <c r="K83" s="288"/>
      <c r="L83" s="285" t="e">
        <f>ROUND(K83/J83*100,1)</f>
        <v>#DIV/0!</v>
      </c>
      <c r="M83" s="286">
        <f>'норм отопл  (2-1) '!N74</f>
        <v>0</v>
      </c>
      <c r="N83" s="287">
        <f>ROUND(J83*M83,3)</f>
        <v>0</v>
      </c>
      <c r="O83" s="287">
        <f>ROUND(K83*M83,3)</f>
        <v>0</v>
      </c>
    </row>
    <row r="84" spans="1:15" ht="30" customHeight="1">
      <c r="A84" s="894" t="s">
        <v>121</v>
      </c>
      <c r="B84" s="894"/>
      <c r="C84" s="894"/>
      <c r="D84" s="290" t="e">
        <f>ROUND(H84/G84,6)</f>
        <v>#DIV/0!</v>
      </c>
      <c r="E84" s="290" t="e">
        <f>ROUND(I84/G84,6)</f>
        <v>#DIV/0!</v>
      </c>
      <c r="F84" s="291" t="e">
        <f>ROUND(E84/D84*100,1)</f>
        <v>#DIV/0!</v>
      </c>
      <c r="G84" s="292">
        <f>SUM(G81:G83)</f>
        <v>0</v>
      </c>
      <c r="H84" s="293">
        <f>SUM(H81:H83)</f>
        <v>0</v>
      </c>
      <c r="I84" s="293">
        <f>SUM(I81:I83)</f>
        <v>0</v>
      </c>
      <c r="J84" s="294" t="e">
        <f>ROUND(N84/M84,6)</f>
        <v>#DIV/0!</v>
      </c>
      <c r="K84" s="294" t="e">
        <f>ROUND(O84/M84,6)</f>
        <v>#DIV/0!</v>
      </c>
      <c r="L84" s="291" t="e">
        <f>ROUND(K84/J84*100,1)</f>
        <v>#DIV/0!</v>
      </c>
      <c r="M84" s="292">
        <f>SUM(M81:M83)</f>
        <v>0</v>
      </c>
      <c r="N84" s="293">
        <f>SUM(N81:N83)</f>
        <v>0</v>
      </c>
      <c r="O84" s="293">
        <f>SUM(O81:O83)</f>
        <v>0</v>
      </c>
    </row>
    <row r="86" spans="1:15" ht="15.75" customHeight="1">
      <c r="A86" s="274"/>
      <c r="B86" s="902" t="s">
        <v>157</v>
      </c>
      <c r="C86" s="902"/>
      <c r="D86" s="274"/>
      <c r="E86" s="274"/>
      <c r="F86" s="221"/>
      <c r="G86" s="222"/>
      <c r="H86" s="222"/>
      <c r="I86" s="222"/>
      <c r="J86" s="222"/>
      <c r="K86" s="222"/>
      <c r="L86" s="222"/>
      <c r="M86" s="274"/>
      <c r="N86" s="274"/>
      <c r="O86" s="274"/>
    </row>
    <row r="87" spans="2:3" ht="12.75">
      <c r="B87" s="263" t="s">
        <v>132</v>
      </c>
      <c r="C87" s="264"/>
    </row>
    <row r="88" spans="1:15" ht="15.75" customHeight="1">
      <c r="A88" s="274"/>
      <c r="B88" s="901" t="s">
        <v>104</v>
      </c>
      <c r="C88" s="901"/>
      <c r="D88" s="901"/>
      <c r="E88" s="901"/>
      <c r="F88" s="901"/>
      <c r="G88" s="901"/>
      <c r="H88" s="901"/>
      <c r="I88" s="901"/>
      <c r="J88" s="901"/>
      <c r="K88" s="901"/>
      <c r="L88" s="901"/>
      <c r="M88" s="274"/>
      <c r="N88" s="274"/>
      <c r="O88" s="274"/>
    </row>
    <row r="89" ht="7.5" customHeight="1"/>
    <row r="90" spans="1:15" s="276" customFormat="1" ht="29.25" customHeight="1">
      <c r="A90" s="889" t="s">
        <v>105</v>
      </c>
      <c r="B90" s="889" t="s">
        <v>106</v>
      </c>
      <c r="C90" s="889" t="s">
        <v>107</v>
      </c>
      <c r="D90" s="898" t="s">
        <v>162</v>
      </c>
      <c r="E90" s="898"/>
      <c r="F90" s="898"/>
      <c r="G90" s="898"/>
      <c r="H90" s="898"/>
      <c r="I90" s="898"/>
      <c r="J90" s="899" t="s">
        <v>436</v>
      </c>
      <c r="K90" s="899"/>
      <c r="L90" s="899"/>
      <c r="M90" s="899"/>
      <c r="N90" s="899"/>
      <c r="O90" s="899"/>
    </row>
    <row r="91" spans="1:15" s="276" customFormat="1" ht="51" customHeight="1">
      <c r="A91" s="889"/>
      <c r="B91" s="889"/>
      <c r="C91" s="889"/>
      <c r="D91" s="896" t="s">
        <v>138</v>
      </c>
      <c r="E91" s="896" t="s">
        <v>139</v>
      </c>
      <c r="F91" s="896" t="s">
        <v>140</v>
      </c>
      <c r="G91" s="897" t="s">
        <v>163</v>
      </c>
      <c r="H91" s="897" t="s">
        <v>15</v>
      </c>
      <c r="I91" s="897"/>
      <c r="J91" s="900" t="s">
        <v>142</v>
      </c>
      <c r="K91" s="895" t="s">
        <v>143</v>
      </c>
      <c r="L91" s="896" t="s">
        <v>140</v>
      </c>
      <c r="M91" s="897" t="s">
        <v>164</v>
      </c>
      <c r="N91" s="897" t="s">
        <v>15</v>
      </c>
      <c r="O91" s="897"/>
    </row>
    <row r="92" spans="1:15" s="276" customFormat="1" ht="153" customHeight="1">
      <c r="A92" s="889"/>
      <c r="B92" s="889"/>
      <c r="C92" s="889"/>
      <c r="D92" s="896"/>
      <c r="E92" s="896"/>
      <c r="F92" s="896"/>
      <c r="G92" s="897"/>
      <c r="H92" s="277" t="s">
        <v>145</v>
      </c>
      <c r="I92" s="278" t="s">
        <v>146</v>
      </c>
      <c r="J92" s="900"/>
      <c r="K92" s="895"/>
      <c r="L92" s="896"/>
      <c r="M92" s="897"/>
      <c r="N92" s="277" t="s">
        <v>147</v>
      </c>
      <c r="O92" s="277" t="s">
        <v>148</v>
      </c>
    </row>
    <row r="93" spans="1:15" s="279" customFormat="1" ht="12" customHeight="1">
      <c r="A93" s="889"/>
      <c r="B93" s="889"/>
      <c r="C93" s="889"/>
      <c r="D93" s="54" t="s">
        <v>149</v>
      </c>
      <c r="E93" s="54" t="s">
        <v>149</v>
      </c>
      <c r="F93" s="54"/>
      <c r="G93" s="54" t="s">
        <v>150</v>
      </c>
      <c r="H93" s="54" t="s">
        <v>36</v>
      </c>
      <c r="I93" s="54" t="s">
        <v>36</v>
      </c>
      <c r="J93" s="54" t="s">
        <v>149</v>
      </c>
      <c r="K93" s="54" t="s">
        <v>149</v>
      </c>
      <c r="L93" s="54"/>
      <c r="M93" s="54" t="s">
        <v>150</v>
      </c>
      <c r="N93" s="54" t="s">
        <v>36</v>
      </c>
      <c r="O93" s="54" t="s">
        <v>36</v>
      </c>
    </row>
    <row r="94" spans="1:15" s="283" customFormat="1" ht="11.25">
      <c r="A94" s="280">
        <v>1</v>
      </c>
      <c r="B94" s="280">
        <f aca="true" t="shared" si="6" ref="B94:O94">A94+1</f>
        <v>2</v>
      </c>
      <c r="C94" s="280">
        <f t="shared" si="6"/>
        <v>3</v>
      </c>
      <c r="D94" s="280">
        <f t="shared" si="6"/>
        <v>4</v>
      </c>
      <c r="E94" s="280">
        <f t="shared" si="6"/>
        <v>5</v>
      </c>
      <c r="F94" s="280">
        <f t="shared" si="6"/>
        <v>6</v>
      </c>
      <c r="G94" s="281">
        <f t="shared" si="6"/>
        <v>7</v>
      </c>
      <c r="H94" s="281">
        <f t="shared" si="6"/>
        <v>8</v>
      </c>
      <c r="I94" s="281">
        <f t="shared" si="6"/>
        <v>9</v>
      </c>
      <c r="J94" s="281">
        <f t="shared" si="6"/>
        <v>10</v>
      </c>
      <c r="K94" s="282">
        <f t="shared" si="6"/>
        <v>11</v>
      </c>
      <c r="L94" s="282">
        <f t="shared" si="6"/>
        <v>12</v>
      </c>
      <c r="M94" s="282">
        <f t="shared" si="6"/>
        <v>13</v>
      </c>
      <c r="N94" s="282">
        <f t="shared" si="6"/>
        <v>14</v>
      </c>
      <c r="O94" s="282">
        <f t="shared" si="6"/>
        <v>15</v>
      </c>
    </row>
    <row r="95" spans="1:15" s="289" customFormat="1" ht="12.75">
      <c r="A95" s="233">
        <v>1</v>
      </c>
      <c r="B95" s="234" t="str">
        <f>'норм отопл  (2-1) '!B85</f>
        <v>п.Рассвет</v>
      </c>
      <c r="C95" s="234" t="str">
        <f>'норм отопл  (2-1) '!C85</f>
        <v>ООО «Жилбытсервис»</v>
      </c>
      <c r="D95" s="284">
        <v>2411.05</v>
      </c>
      <c r="E95" s="284">
        <v>2022.75</v>
      </c>
      <c r="F95" s="285">
        <f>ROUND(E95/D95*100,1)</f>
        <v>83.9</v>
      </c>
      <c r="G95" s="286">
        <f>'норм отопл  (2-1) '!I85</f>
        <v>0.58361</v>
      </c>
      <c r="H95" s="287">
        <f>ROUND(D95*G95,3)</f>
        <v>1407.113</v>
      </c>
      <c r="I95" s="287">
        <f>ROUND(E95*G95,3)</f>
        <v>1180.497</v>
      </c>
      <c r="J95" s="288">
        <v>2505.08</v>
      </c>
      <c r="K95" s="297">
        <f>E95*1.039</f>
        <v>2101.6372499999998</v>
      </c>
      <c r="L95" s="285">
        <f>ROUND(K95/J95*100,1)</f>
        <v>83.9</v>
      </c>
      <c r="M95" s="286">
        <f>'норм отопл  (2-1) '!N85</f>
        <v>0.58361</v>
      </c>
      <c r="N95" s="287">
        <f>ROUND(J95*M95,3)</f>
        <v>1461.99</v>
      </c>
      <c r="O95" s="287">
        <f>ROUND(K95*M95,3)</f>
        <v>1226.537</v>
      </c>
    </row>
    <row r="96" spans="1:15" s="289" customFormat="1" ht="12.75">
      <c r="A96" s="233">
        <v>2</v>
      </c>
      <c r="B96" s="234" t="s">
        <v>119</v>
      </c>
      <c r="C96" s="234" t="s">
        <v>120</v>
      </c>
      <c r="D96" s="284">
        <v>2411.05</v>
      </c>
      <c r="E96" s="284">
        <v>2022.75</v>
      </c>
      <c r="F96" s="285">
        <f>ROUND(E96/D96*100,1)</f>
        <v>83.9</v>
      </c>
      <c r="G96" s="286">
        <f>'норм отопл  (2-1) '!I86</f>
        <v>0.1993</v>
      </c>
      <c r="H96" s="287">
        <f>ROUND(D96*G96,3)</f>
        <v>480.522</v>
      </c>
      <c r="I96" s="287">
        <f>ROUND(E96*G96,3)</f>
        <v>403.134</v>
      </c>
      <c r="J96" s="288">
        <v>2505.08</v>
      </c>
      <c r="K96" s="297">
        <f>E96*1.039</f>
        <v>2101.6372499999998</v>
      </c>
      <c r="L96" s="285">
        <f>ROUND(K96/J96*100,1)</f>
        <v>83.9</v>
      </c>
      <c r="M96" s="286">
        <f>'норм отопл  (2-1) '!N86</f>
        <v>0.1993</v>
      </c>
      <c r="N96" s="287">
        <f>ROUND(J96*M96,3)</f>
        <v>499.262</v>
      </c>
      <c r="O96" s="287">
        <f>ROUND(K96*M96,3)</f>
        <v>418.856</v>
      </c>
    </row>
    <row r="97" spans="1:15" s="289" customFormat="1" ht="12.75">
      <c r="A97" s="233"/>
      <c r="B97" s="234" t="str">
        <f>'норм отопл  (2-1) '!B87</f>
        <v>п.Рассвет</v>
      </c>
      <c r="C97" s="234" t="str">
        <f>'норм отопл  (2-1) '!C87</f>
        <v>ООО «Жилбытсервис»</v>
      </c>
      <c r="D97" s="284">
        <v>2411.05</v>
      </c>
      <c r="E97" s="284">
        <v>2022.75</v>
      </c>
      <c r="F97" s="285">
        <f>ROUND(E97/D97*100,1)</f>
        <v>83.9</v>
      </c>
      <c r="G97" s="286">
        <f>'норм отопл  (2-1) '!I87</f>
        <v>0.08538</v>
      </c>
      <c r="H97" s="287">
        <f>ROUND(D97*G97,3)</f>
        <v>205.855</v>
      </c>
      <c r="I97" s="287">
        <f>ROUND(E97*G97,3)</f>
        <v>172.702</v>
      </c>
      <c r="J97" s="288">
        <v>2505.08</v>
      </c>
      <c r="K97" s="297">
        <f>E97*1.039</f>
        <v>2101.6372499999998</v>
      </c>
      <c r="L97" s="285">
        <f>ROUND(K97/J97*100,1)</f>
        <v>83.9</v>
      </c>
      <c r="M97" s="286">
        <f>'норм отопл  (2-1) '!N87</f>
        <v>0.08538</v>
      </c>
      <c r="N97" s="287">
        <f>ROUND(J97*M97,3)</f>
        <v>213.884</v>
      </c>
      <c r="O97" s="287">
        <f>ROUND(K97*M97,3)</f>
        <v>179.438</v>
      </c>
    </row>
    <row r="98" spans="1:15" s="245" customFormat="1" ht="28.5" customHeight="1">
      <c r="A98" s="894" t="s">
        <v>121</v>
      </c>
      <c r="B98" s="894"/>
      <c r="C98" s="894"/>
      <c r="D98" s="290">
        <f>ROUND(H98/G98,6)</f>
        <v>2411.049304</v>
      </c>
      <c r="E98" s="290">
        <f>ROUND(I98/G98,6)</f>
        <v>2022.749312</v>
      </c>
      <c r="F98" s="291">
        <f>ROUND(E98/D98*100,1)</f>
        <v>83.9</v>
      </c>
      <c r="G98" s="292">
        <f>SUM(G95:G97)</f>
        <v>0.86829</v>
      </c>
      <c r="H98" s="293">
        <f>SUM(H95:H97)</f>
        <v>2093.49</v>
      </c>
      <c r="I98" s="293">
        <f>SUM(I95:I97)</f>
        <v>1756.333</v>
      </c>
      <c r="J98" s="294">
        <f>ROUND(N98/M98,6)</f>
        <v>2505.0801</v>
      </c>
      <c r="K98" s="294">
        <f>ROUND(O98/M98,6)</f>
        <v>2101.637702</v>
      </c>
      <c r="L98" s="291">
        <f>ROUND(K98/J98*100,1)</f>
        <v>83.9</v>
      </c>
      <c r="M98" s="292">
        <f>SUM(M95:M97)</f>
        <v>0.86829</v>
      </c>
      <c r="N98" s="293">
        <f>SUM(N95:N97)</f>
        <v>2175.136</v>
      </c>
      <c r="O98" s="293">
        <f>SUM(O95:O97)</f>
        <v>1824.8310000000001</v>
      </c>
    </row>
    <row r="99" spans="1:9" ht="12.75">
      <c r="A99" s="246"/>
      <c r="B99" s="246"/>
      <c r="D99" s="295"/>
      <c r="E99" s="265"/>
      <c r="F99" s="265"/>
      <c r="H99" s="265"/>
      <c r="I99" s="265"/>
    </row>
    <row r="101" ht="12.75">
      <c r="B101" s="247" t="s">
        <v>122</v>
      </c>
    </row>
    <row r="103" spans="1:15" ht="24.75" customHeight="1">
      <c r="A103" s="889" t="s">
        <v>105</v>
      </c>
      <c r="B103" s="889" t="s">
        <v>106</v>
      </c>
      <c r="C103" s="889" t="s">
        <v>107</v>
      </c>
      <c r="D103" s="898" t="s">
        <v>162</v>
      </c>
      <c r="E103" s="898"/>
      <c r="F103" s="898"/>
      <c r="G103" s="898"/>
      <c r="H103" s="898"/>
      <c r="I103" s="898"/>
      <c r="J103" s="899" t="s">
        <v>436</v>
      </c>
      <c r="K103" s="899"/>
      <c r="L103" s="899"/>
      <c r="M103" s="899"/>
      <c r="N103" s="899"/>
      <c r="O103" s="899"/>
    </row>
    <row r="104" spans="1:15" ht="48.75" customHeight="1">
      <c r="A104" s="889"/>
      <c r="B104" s="889"/>
      <c r="C104" s="889"/>
      <c r="D104" s="896" t="s">
        <v>138</v>
      </c>
      <c r="E104" s="896" t="s">
        <v>139</v>
      </c>
      <c r="F104" s="896" t="s">
        <v>140</v>
      </c>
      <c r="G104" s="897" t="s">
        <v>165</v>
      </c>
      <c r="H104" s="897" t="s">
        <v>15</v>
      </c>
      <c r="I104" s="897"/>
      <c r="J104" s="900" t="s">
        <v>142</v>
      </c>
      <c r="K104" s="895" t="s">
        <v>143</v>
      </c>
      <c r="L104" s="896" t="s">
        <v>140</v>
      </c>
      <c r="M104" s="897" t="s">
        <v>166</v>
      </c>
      <c r="N104" s="897" t="s">
        <v>15</v>
      </c>
      <c r="O104" s="897"/>
    </row>
    <row r="105" spans="1:15" ht="127.5">
      <c r="A105" s="889"/>
      <c r="B105" s="889"/>
      <c r="C105" s="889"/>
      <c r="D105" s="896"/>
      <c r="E105" s="896"/>
      <c r="F105" s="896"/>
      <c r="G105" s="897"/>
      <c r="H105" s="277" t="s">
        <v>153</v>
      </c>
      <c r="I105" s="277" t="s">
        <v>154</v>
      </c>
      <c r="J105" s="900"/>
      <c r="K105" s="895"/>
      <c r="L105" s="896"/>
      <c r="M105" s="897"/>
      <c r="N105" s="277" t="s">
        <v>147</v>
      </c>
      <c r="O105" s="277" t="s">
        <v>155</v>
      </c>
    </row>
    <row r="106" spans="1:15" ht="12.75">
      <c r="A106" s="889"/>
      <c r="B106" s="889"/>
      <c r="C106" s="889"/>
      <c r="D106" s="54" t="s">
        <v>149</v>
      </c>
      <c r="E106" s="54" t="s">
        <v>149</v>
      </c>
      <c r="F106" s="54"/>
      <c r="G106" s="54" t="s">
        <v>150</v>
      </c>
      <c r="H106" s="54" t="s">
        <v>36</v>
      </c>
      <c r="I106" s="54" t="s">
        <v>36</v>
      </c>
      <c r="J106" s="54" t="s">
        <v>149</v>
      </c>
      <c r="K106" s="54" t="s">
        <v>149</v>
      </c>
      <c r="L106" s="54"/>
      <c r="M106" s="54" t="s">
        <v>150</v>
      </c>
      <c r="N106" s="54" t="s">
        <v>36</v>
      </c>
      <c r="O106" s="54" t="s">
        <v>36</v>
      </c>
    </row>
    <row r="107" spans="1:15" ht="12.75">
      <c r="A107" s="280">
        <v>1</v>
      </c>
      <c r="B107" s="280">
        <f aca="true" t="shared" si="7" ref="B107:O107">A107+1</f>
        <v>2</v>
      </c>
      <c r="C107" s="280">
        <f t="shared" si="7"/>
        <v>3</v>
      </c>
      <c r="D107" s="280">
        <f t="shared" si="7"/>
        <v>4</v>
      </c>
      <c r="E107" s="280">
        <f t="shared" si="7"/>
        <v>5</v>
      </c>
      <c r="F107" s="280">
        <f t="shared" si="7"/>
        <v>6</v>
      </c>
      <c r="G107" s="281">
        <f t="shared" si="7"/>
        <v>7</v>
      </c>
      <c r="H107" s="281">
        <f t="shared" si="7"/>
        <v>8</v>
      </c>
      <c r="I107" s="281">
        <f t="shared" si="7"/>
        <v>9</v>
      </c>
      <c r="J107" s="281">
        <f t="shared" si="7"/>
        <v>10</v>
      </c>
      <c r="K107" s="282">
        <f t="shared" si="7"/>
        <v>11</v>
      </c>
      <c r="L107" s="282">
        <f t="shared" si="7"/>
        <v>12</v>
      </c>
      <c r="M107" s="282">
        <f t="shared" si="7"/>
        <v>13</v>
      </c>
      <c r="N107" s="282">
        <f t="shared" si="7"/>
        <v>14</v>
      </c>
      <c r="O107" s="282">
        <f t="shared" si="7"/>
        <v>15</v>
      </c>
    </row>
    <row r="108" spans="1:15" ht="12.75">
      <c r="A108" s="233"/>
      <c r="B108" s="234"/>
      <c r="C108" s="234"/>
      <c r="D108" s="284"/>
      <c r="E108" s="284"/>
      <c r="F108" s="285" t="e">
        <f>ROUND(E108/D108*100,1)</f>
        <v>#DIV/0!</v>
      </c>
      <c r="G108" s="286">
        <f>'норм отопл  (2-1) '!I96</f>
        <v>0</v>
      </c>
      <c r="H108" s="287">
        <f>ROUND(D108*G108,3)</f>
        <v>0</v>
      </c>
      <c r="I108" s="287">
        <f>ROUND(E108*G108,3)</f>
        <v>0</v>
      </c>
      <c r="J108" s="284"/>
      <c r="K108" s="284"/>
      <c r="L108" s="285" t="e">
        <f>ROUND(K108/J108*100,1)</f>
        <v>#DIV/0!</v>
      </c>
      <c r="M108" s="286">
        <f>'норм отопл  (2-1) '!N96</f>
        <v>0</v>
      </c>
      <c r="N108" s="287">
        <f>ROUND(J108*M108,3)</f>
        <v>0</v>
      </c>
      <c r="O108" s="287">
        <f>ROUND(K108*M108,3)</f>
        <v>0</v>
      </c>
    </row>
    <row r="109" spans="1:15" ht="12.75">
      <c r="A109" s="233"/>
      <c r="B109" s="234">
        <f>'норм отопл  (2-1) '!B97</f>
        <v>0</v>
      </c>
      <c r="C109" s="234">
        <f>'норм отопл  (2-1) '!C97</f>
        <v>0</v>
      </c>
      <c r="D109" s="284"/>
      <c r="E109" s="284"/>
      <c r="F109" s="285" t="e">
        <f>ROUND(E109/D109*100,1)</f>
        <v>#DIV/0!</v>
      </c>
      <c r="G109" s="286">
        <f>'норм отопл  (2-1) '!I97</f>
        <v>0</v>
      </c>
      <c r="H109" s="287">
        <f>ROUND(D109*G109,3)</f>
        <v>0</v>
      </c>
      <c r="I109" s="287">
        <f>ROUND(E109*G109,3)</f>
        <v>0</v>
      </c>
      <c r="J109" s="288"/>
      <c r="K109" s="288"/>
      <c r="L109" s="285" t="e">
        <f>ROUND(K109/J109*100,1)</f>
        <v>#DIV/0!</v>
      </c>
      <c r="M109" s="286">
        <f>'норм отопл  (2-1) '!N97</f>
        <v>0</v>
      </c>
      <c r="N109" s="287">
        <f>ROUND(J109*M109,3)</f>
        <v>0</v>
      </c>
      <c r="O109" s="287">
        <f>ROUND(K109*M109,3)</f>
        <v>0</v>
      </c>
    </row>
    <row r="110" spans="1:15" ht="12.75">
      <c r="A110" s="233"/>
      <c r="B110" s="234">
        <f>'норм отопл  (2-1) '!B98</f>
        <v>0</v>
      </c>
      <c r="C110" s="234">
        <f>'норм отопл  (2-1) '!C98</f>
        <v>0</v>
      </c>
      <c r="D110" s="284"/>
      <c r="E110" s="284"/>
      <c r="F110" s="285" t="e">
        <f>ROUND(E110/D110*100,1)</f>
        <v>#DIV/0!</v>
      </c>
      <c r="G110" s="286">
        <f>'норм отопл  (2-1) '!I98</f>
        <v>0</v>
      </c>
      <c r="H110" s="287">
        <f>ROUND(D110*G110,3)</f>
        <v>0</v>
      </c>
      <c r="I110" s="287">
        <f>ROUND(E110*G110,3)</f>
        <v>0</v>
      </c>
      <c r="J110" s="288"/>
      <c r="K110" s="288"/>
      <c r="L110" s="285" t="e">
        <f>ROUND(K110/J110*100,1)</f>
        <v>#DIV/0!</v>
      </c>
      <c r="M110" s="286">
        <f>'норм отопл  (2-1) '!N98</f>
        <v>0</v>
      </c>
      <c r="N110" s="287">
        <f>ROUND(J110*M110,3)</f>
        <v>0</v>
      </c>
      <c r="O110" s="287">
        <f>ROUND(K110*M110,3)</f>
        <v>0</v>
      </c>
    </row>
    <row r="111" spans="1:15" ht="30" customHeight="1">
      <c r="A111" s="894" t="s">
        <v>121</v>
      </c>
      <c r="B111" s="894"/>
      <c r="C111" s="894"/>
      <c r="D111" s="290" t="e">
        <f>ROUND(H111/G111,6)</f>
        <v>#DIV/0!</v>
      </c>
      <c r="E111" s="290" t="e">
        <f>ROUND(I111/G111,6)</f>
        <v>#DIV/0!</v>
      </c>
      <c r="F111" s="291" t="e">
        <f>ROUND(E111/D111*100,1)</f>
        <v>#DIV/0!</v>
      </c>
      <c r="G111" s="292">
        <f>SUM(G108:G110)</f>
        <v>0</v>
      </c>
      <c r="H111" s="293">
        <f>SUM(H108:H110)</f>
        <v>0</v>
      </c>
      <c r="I111" s="293">
        <f>SUM(I108:I110)</f>
        <v>0</v>
      </c>
      <c r="J111" s="294" t="e">
        <f>ROUND(N111/M111,6)</f>
        <v>#DIV/0!</v>
      </c>
      <c r="K111" s="294" t="e">
        <f>ROUND(O111/M111,6)</f>
        <v>#DIV/0!</v>
      </c>
      <c r="L111" s="291" t="e">
        <f>ROUND(K111/J111*100,1)</f>
        <v>#DIV/0!</v>
      </c>
      <c r="M111" s="292">
        <f>SUM(M108:M110)</f>
        <v>0</v>
      </c>
      <c r="N111" s="293">
        <f>SUM(N108:N110)</f>
        <v>0</v>
      </c>
      <c r="O111" s="293">
        <f>SUM(O108:O110)</f>
        <v>0</v>
      </c>
    </row>
    <row r="113" spans="1:15" ht="30" customHeight="1">
      <c r="A113" s="254"/>
      <c r="B113" s="254"/>
      <c r="C113" s="254"/>
      <c r="D113" s="298"/>
      <c r="E113" s="298"/>
      <c r="F113" s="299"/>
      <c r="G113" s="300"/>
      <c r="H113" s="301"/>
      <c r="I113" s="301"/>
      <c r="J113" s="302"/>
      <c r="K113" s="302"/>
      <c r="L113" s="299"/>
      <c r="M113" s="300"/>
      <c r="N113" s="301"/>
      <c r="O113" s="301"/>
    </row>
    <row r="114" spans="2:6" ht="18.75">
      <c r="B114" s="802" t="s">
        <v>422</v>
      </c>
      <c r="C114" s="803"/>
      <c r="D114" s="803" t="s">
        <v>423</v>
      </c>
      <c r="E114" s="809"/>
      <c r="F114" s="804"/>
    </row>
    <row r="115" spans="2:6" ht="18.75">
      <c r="B115" s="802"/>
      <c r="C115" s="802"/>
      <c r="D115" s="802"/>
      <c r="E115" s="802"/>
      <c r="F115" s="804" t="s">
        <v>97</v>
      </c>
    </row>
    <row r="116" spans="2:6" ht="18.75">
      <c r="B116" s="802" t="s">
        <v>98</v>
      </c>
      <c r="C116" s="803" t="s">
        <v>424</v>
      </c>
      <c r="D116" s="803"/>
      <c r="E116" s="803"/>
      <c r="F116" s="804"/>
    </row>
    <row r="117" spans="2:6" ht="18.75">
      <c r="B117" s="802" t="s">
        <v>421</v>
      </c>
      <c r="C117" s="808" t="s">
        <v>425</v>
      </c>
      <c r="D117" s="807"/>
      <c r="E117" s="807"/>
      <c r="F117" s="804"/>
    </row>
  </sheetData>
  <sheetProtection selectLockedCells="1" selectUnlockedCells="1"/>
  <mergeCells count="137">
    <mergeCell ref="A3:O3"/>
    <mergeCell ref="B6:C6"/>
    <mergeCell ref="B8:L8"/>
    <mergeCell ref="A10:A13"/>
    <mergeCell ref="B10:B13"/>
    <mergeCell ref="C10:C13"/>
    <mergeCell ref="D10:I10"/>
    <mergeCell ref="J10:O10"/>
    <mergeCell ref="D11:D12"/>
    <mergeCell ref="E11:E12"/>
    <mergeCell ref="M11:M12"/>
    <mergeCell ref="N11:O11"/>
    <mergeCell ref="F11:F12"/>
    <mergeCell ref="G11:G12"/>
    <mergeCell ref="H11:I11"/>
    <mergeCell ref="J11:J12"/>
    <mergeCell ref="A18:C18"/>
    <mergeCell ref="A23:A26"/>
    <mergeCell ref="B23:B26"/>
    <mergeCell ref="C23:C26"/>
    <mergeCell ref="K11:K12"/>
    <mergeCell ref="L11:L12"/>
    <mergeCell ref="D23:I23"/>
    <mergeCell ref="J23:O23"/>
    <mergeCell ref="D24:D25"/>
    <mergeCell ref="E24:E25"/>
    <mergeCell ref="F24:F25"/>
    <mergeCell ref="G24:G25"/>
    <mergeCell ref="H24:I24"/>
    <mergeCell ref="J24:J25"/>
    <mergeCell ref="M24:M25"/>
    <mergeCell ref="N24:O24"/>
    <mergeCell ref="K24:K25"/>
    <mergeCell ref="L24:L25"/>
    <mergeCell ref="A31:C31"/>
    <mergeCell ref="B33:C33"/>
    <mergeCell ref="A37:A40"/>
    <mergeCell ref="C37:C40"/>
    <mergeCell ref="D37:I37"/>
    <mergeCell ref="J37:O37"/>
    <mergeCell ref="M38:M39"/>
    <mergeCell ref="N38:O38"/>
    <mergeCell ref="F38:F39"/>
    <mergeCell ref="G38:G39"/>
    <mergeCell ref="K38:K39"/>
    <mergeCell ref="L38:L39"/>
    <mergeCell ref="H38:I38"/>
    <mergeCell ref="J38:J39"/>
    <mergeCell ref="B35:L35"/>
    <mergeCell ref="B37:B40"/>
    <mergeCell ref="D38:D39"/>
    <mergeCell ref="E38:E39"/>
    <mergeCell ref="K51:K52"/>
    <mergeCell ref="L51:L52"/>
    <mergeCell ref="D50:I50"/>
    <mergeCell ref="J50:O50"/>
    <mergeCell ref="M51:M52"/>
    <mergeCell ref="N51:O51"/>
    <mergeCell ref="F51:F52"/>
    <mergeCell ref="G51:G52"/>
    <mergeCell ref="H51:I51"/>
    <mergeCell ref="J51:J52"/>
    <mergeCell ref="A58:C58"/>
    <mergeCell ref="B59:C59"/>
    <mergeCell ref="A45:C45"/>
    <mergeCell ref="A50:A53"/>
    <mergeCell ref="B50:B53"/>
    <mergeCell ref="C50:C53"/>
    <mergeCell ref="D51:D52"/>
    <mergeCell ref="E51:E52"/>
    <mergeCell ref="B61:L61"/>
    <mergeCell ref="A63:A66"/>
    <mergeCell ref="B63:B66"/>
    <mergeCell ref="C63:C66"/>
    <mergeCell ref="D63:I63"/>
    <mergeCell ref="J63:O63"/>
    <mergeCell ref="D64:D65"/>
    <mergeCell ref="E64:E65"/>
    <mergeCell ref="F64:F65"/>
    <mergeCell ref="G64:G65"/>
    <mergeCell ref="A71:C71"/>
    <mergeCell ref="A76:A79"/>
    <mergeCell ref="B76:B79"/>
    <mergeCell ref="C76:C79"/>
    <mergeCell ref="D76:I76"/>
    <mergeCell ref="J76:O76"/>
    <mergeCell ref="D77:D78"/>
    <mergeCell ref="E77:E78"/>
    <mergeCell ref="F77:F78"/>
    <mergeCell ref="G77:G78"/>
    <mergeCell ref="H77:I77"/>
    <mergeCell ref="J77:J78"/>
    <mergeCell ref="M77:M78"/>
    <mergeCell ref="N77:O77"/>
    <mergeCell ref="K77:K78"/>
    <mergeCell ref="M64:M65"/>
    <mergeCell ref="N64:O64"/>
    <mergeCell ref="H64:I64"/>
    <mergeCell ref="J64:J65"/>
    <mergeCell ref="K64:K65"/>
    <mergeCell ref="L64:L65"/>
    <mergeCell ref="A84:C84"/>
    <mergeCell ref="B86:C86"/>
    <mergeCell ref="D91:D92"/>
    <mergeCell ref="E91:E92"/>
    <mergeCell ref="F91:F92"/>
    <mergeCell ref="G91:G92"/>
    <mergeCell ref="A90:A93"/>
    <mergeCell ref="L77:L78"/>
    <mergeCell ref="H91:I91"/>
    <mergeCell ref="J91:J92"/>
    <mergeCell ref="K91:K92"/>
    <mergeCell ref="L91:L92"/>
    <mergeCell ref="B88:L88"/>
    <mergeCell ref="B90:B93"/>
    <mergeCell ref="C90:C93"/>
    <mergeCell ref="D90:I90"/>
    <mergeCell ref="J90:O90"/>
    <mergeCell ref="M91:M92"/>
    <mergeCell ref="N91:O91"/>
    <mergeCell ref="D104:D105"/>
    <mergeCell ref="E104:E105"/>
    <mergeCell ref="N104:O104"/>
    <mergeCell ref="F104:F105"/>
    <mergeCell ref="G104:G105"/>
    <mergeCell ref="H104:I104"/>
    <mergeCell ref="J104:J105"/>
    <mergeCell ref="A111:C111"/>
    <mergeCell ref="K104:K105"/>
    <mergeCell ref="L104:L105"/>
    <mergeCell ref="M104:M105"/>
    <mergeCell ref="A98:C98"/>
    <mergeCell ref="A103:A106"/>
    <mergeCell ref="B103:B106"/>
    <mergeCell ref="C103:C106"/>
    <mergeCell ref="D103:I103"/>
    <mergeCell ref="J103:O10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50" r:id="rId1"/>
  <rowBreaks count="3" manualBreakCount="3">
    <brk id="31" max="255" man="1"/>
    <brk id="58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S135"/>
  <sheetViews>
    <sheetView zoomScale="90" zoomScaleNormal="90" zoomScaleSheetLayoutView="86" zoomScalePageLayoutView="0" workbookViewId="0" topLeftCell="I97">
      <selection activeCell="F52" sqref="F52"/>
    </sheetView>
  </sheetViews>
  <sheetFormatPr defaultColWidth="9.00390625" defaultRowHeight="12.75"/>
  <cols>
    <col min="1" max="1" width="3.625" style="208" customWidth="1"/>
    <col min="2" max="2" width="22.375" style="208" customWidth="1"/>
    <col min="3" max="3" width="19.375" style="208" customWidth="1"/>
    <col min="4" max="4" width="11.625" style="208" customWidth="1"/>
    <col min="5" max="5" width="11.25390625" style="208" customWidth="1"/>
    <col min="6" max="6" width="10.625" style="207" customWidth="1"/>
    <col min="7" max="7" width="11.00390625" style="207" customWidth="1"/>
    <col min="8" max="8" width="9.25390625" style="207" customWidth="1"/>
    <col min="9" max="9" width="11.125" style="207" customWidth="1"/>
    <col min="10" max="10" width="11.25390625" style="207" customWidth="1"/>
    <col min="11" max="11" width="11.125" style="207" customWidth="1"/>
    <col min="12" max="12" width="10.875" style="207" customWidth="1"/>
    <col min="13" max="13" width="9.25390625" style="207" customWidth="1"/>
    <col min="14" max="14" width="10.375" style="207" customWidth="1"/>
    <col min="15" max="15" width="9.25390625" style="207" customWidth="1"/>
    <col min="16" max="16" width="12.625" style="207" customWidth="1"/>
    <col min="17" max="17" width="11.875" style="207" customWidth="1"/>
    <col min="18" max="19" width="9.25390625" style="207" customWidth="1"/>
  </cols>
  <sheetData>
    <row r="1" spans="1:19" ht="12.75">
      <c r="A1" s="214" t="s">
        <v>100</v>
      </c>
      <c r="S1" s="215" t="s">
        <v>167</v>
      </c>
    </row>
    <row r="2" spans="1:19" ht="12.75">
      <c r="A2" s="214"/>
      <c r="S2" s="215"/>
    </row>
    <row r="3" spans="1:19" ht="18.75" customHeight="1">
      <c r="A3" s="909" t="s">
        <v>441</v>
      </c>
      <c r="B3" s="909"/>
      <c r="C3" s="909"/>
      <c r="D3" s="909"/>
      <c r="E3" s="909"/>
      <c r="F3" s="909"/>
      <c r="G3" s="909"/>
      <c r="H3" s="909"/>
      <c r="I3" s="909"/>
      <c r="J3" s="909"/>
      <c r="K3" s="909"/>
      <c r="L3" s="909"/>
      <c r="M3" s="909"/>
      <c r="N3" s="909"/>
      <c r="O3" s="909"/>
      <c r="P3" s="909"/>
      <c r="Q3" s="909"/>
      <c r="R3" s="909"/>
      <c r="S3" s="909"/>
    </row>
    <row r="4" spans="1:19" ht="12.7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</row>
    <row r="5" spans="1:19" s="273" customFormat="1" ht="18" customHeight="1">
      <c r="A5" s="267"/>
      <c r="B5" s="267"/>
      <c r="C5" s="268"/>
      <c r="D5" s="269"/>
      <c r="E5" s="269"/>
      <c r="F5" s="269"/>
      <c r="G5" s="270"/>
      <c r="H5" s="219" t="s">
        <v>102</v>
      </c>
      <c r="I5" s="270"/>
      <c r="J5" s="219"/>
      <c r="K5" s="219"/>
      <c r="L5" s="303"/>
      <c r="M5" s="271"/>
      <c r="N5" s="272"/>
      <c r="O5" s="271"/>
      <c r="P5" s="271"/>
      <c r="Q5" s="271"/>
      <c r="R5" s="271"/>
      <c r="S5" s="272"/>
    </row>
    <row r="6" spans="7:11" ht="12.75" customHeight="1">
      <c r="G6" s="221"/>
      <c r="H6" s="910"/>
      <c r="I6" s="910"/>
      <c r="J6" s="910"/>
      <c r="K6" s="220"/>
    </row>
    <row r="7" spans="7:13" ht="12.75">
      <c r="G7" s="221"/>
      <c r="H7" s="222"/>
      <c r="I7" s="222"/>
      <c r="J7" s="222"/>
      <c r="K7" s="222"/>
      <c r="L7" s="222"/>
      <c r="M7" s="222"/>
    </row>
    <row r="8" spans="1:15" s="208" customFormat="1" ht="15.75" customHeight="1">
      <c r="A8" s="274"/>
      <c r="B8" s="904" t="s">
        <v>136</v>
      </c>
      <c r="C8" s="904"/>
      <c r="D8" s="274"/>
      <c r="E8" s="274"/>
      <c r="F8" s="221"/>
      <c r="G8" s="222"/>
      <c r="H8" s="222"/>
      <c r="I8" s="222"/>
      <c r="J8" s="222"/>
      <c r="K8" s="222"/>
      <c r="L8" s="222"/>
      <c r="M8" s="274"/>
      <c r="N8" s="274"/>
      <c r="O8" s="274"/>
    </row>
    <row r="9" spans="1:15" s="208" customFormat="1" ht="15.75">
      <c r="A9" s="274"/>
      <c r="B9" s="275" t="s">
        <v>132</v>
      </c>
      <c r="C9" s="275"/>
      <c r="D9" s="274"/>
      <c r="E9" s="274"/>
      <c r="F9" s="764"/>
      <c r="G9" s="222"/>
      <c r="H9" s="222"/>
      <c r="I9" s="222"/>
      <c r="J9" s="222"/>
      <c r="K9" s="222"/>
      <c r="L9" s="222"/>
      <c r="M9" s="274"/>
      <c r="N9" s="274"/>
      <c r="O9" s="274"/>
    </row>
    <row r="10" spans="2:13" ht="12.75">
      <c r="B10" s="304" t="s">
        <v>168</v>
      </c>
      <c r="G10" s="221"/>
      <c r="H10" s="222"/>
      <c r="I10" s="222"/>
      <c r="J10" s="222"/>
      <c r="K10" s="222"/>
      <c r="L10" s="222"/>
      <c r="M10" s="222"/>
    </row>
    <row r="12" spans="1:19" s="224" customFormat="1" ht="20.25" customHeight="1">
      <c r="A12" s="889" t="s">
        <v>105</v>
      </c>
      <c r="B12" s="889" t="s">
        <v>106</v>
      </c>
      <c r="C12" s="889" t="s">
        <v>107</v>
      </c>
      <c r="D12" s="889" t="s">
        <v>108</v>
      </c>
      <c r="E12" s="889"/>
      <c r="F12" s="890" t="s">
        <v>137</v>
      </c>
      <c r="G12" s="890"/>
      <c r="H12" s="890"/>
      <c r="I12" s="890"/>
      <c r="J12" s="890"/>
      <c r="K12" s="890"/>
      <c r="L12" s="890"/>
      <c r="M12" s="903" t="s">
        <v>440</v>
      </c>
      <c r="N12" s="903"/>
      <c r="O12" s="903"/>
      <c r="P12" s="903"/>
      <c r="Q12" s="903"/>
      <c r="R12" s="903"/>
      <c r="S12" s="903"/>
    </row>
    <row r="13" spans="1:19" ht="100.5" customHeight="1">
      <c r="A13" s="889"/>
      <c r="B13" s="889"/>
      <c r="C13" s="889"/>
      <c r="D13" s="889"/>
      <c r="E13" s="889"/>
      <c r="F13" s="305" t="s">
        <v>169</v>
      </c>
      <c r="G13" s="305" t="s">
        <v>170</v>
      </c>
      <c r="H13" s="306" t="s">
        <v>124</v>
      </c>
      <c r="I13" s="306" t="s">
        <v>171</v>
      </c>
      <c r="J13" s="307" t="s">
        <v>172</v>
      </c>
      <c r="K13" s="907" t="s">
        <v>173</v>
      </c>
      <c r="L13" s="907"/>
      <c r="M13" s="308" t="s">
        <v>169</v>
      </c>
      <c r="N13" s="305" t="s">
        <v>170</v>
      </c>
      <c r="O13" s="306" t="s">
        <v>111</v>
      </c>
      <c r="P13" s="306" t="s">
        <v>171</v>
      </c>
      <c r="Q13" s="307" t="s">
        <v>172</v>
      </c>
      <c r="R13" s="907" t="s">
        <v>173</v>
      </c>
      <c r="S13" s="907"/>
    </row>
    <row r="14" spans="1:19" s="312" customFormat="1" ht="12.75" customHeight="1">
      <c r="A14" s="889"/>
      <c r="B14" s="889"/>
      <c r="C14" s="889"/>
      <c r="D14" s="889"/>
      <c r="E14" s="889"/>
      <c r="F14" s="309" t="s">
        <v>174</v>
      </c>
      <c r="G14" s="310" t="s">
        <v>175</v>
      </c>
      <c r="H14" s="311" t="s">
        <v>117</v>
      </c>
      <c r="I14" s="311" t="s">
        <v>118</v>
      </c>
      <c r="J14" s="311" t="s">
        <v>176</v>
      </c>
      <c r="K14" s="311" t="s">
        <v>42</v>
      </c>
      <c r="L14" s="225" t="s">
        <v>177</v>
      </c>
      <c r="M14" s="310" t="s">
        <v>174</v>
      </c>
      <c r="N14" s="310" t="s">
        <v>175</v>
      </c>
      <c r="O14" s="311" t="s">
        <v>117</v>
      </c>
      <c r="P14" s="311" t="s">
        <v>118</v>
      </c>
      <c r="Q14" s="311" t="s">
        <v>176</v>
      </c>
      <c r="R14" s="311" t="s">
        <v>42</v>
      </c>
      <c r="S14" s="225" t="s">
        <v>177</v>
      </c>
    </row>
    <row r="15" spans="1:19" ht="12.75">
      <c r="A15" s="280">
        <v>1</v>
      </c>
      <c r="B15" s="280">
        <f>A15+1</f>
        <v>2</v>
      </c>
      <c r="C15" s="280">
        <f>B15+1</f>
        <v>3</v>
      </c>
      <c r="D15" s="280">
        <f>C15+1</f>
        <v>4</v>
      </c>
      <c r="E15" s="280" t="s">
        <v>178</v>
      </c>
      <c r="F15" s="280">
        <f>D15+1</f>
        <v>5</v>
      </c>
      <c r="G15" s="280">
        <f aca="true" t="shared" si="0" ref="G15:S15">F15+1</f>
        <v>6</v>
      </c>
      <c r="H15" s="280">
        <f t="shared" si="0"/>
        <v>7</v>
      </c>
      <c r="I15" s="280">
        <f t="shared" si="0"/>
        <v>8</v>
      </c>
      <c r="J15" s="280">
        <f t="shared" si="0"/>
        <v>9</v>
      </c>
      <c r="K15" s="280">
        <f t="shared" si="0"/>
        <v>10</v>
      </c>
      <c r="L15" s="280">
        <f t="shared" si="0"/>
        <v>11</v>
      </c>
      <c r="M15" s="280">
        <f t="shared" si="0"/>
        <v>12</v>
      </c>
      <c r="N15" s="280">
        <f t="shared" si="0"/>
        <v>13</v>
      </c>
      <c r="O15" s="280">
        <f t="shared" si="0"/>
        <v>14</v>
      </c>
      <c r="P15" s="280">
        <f t="shared" si="0"/>
        <v>15</v>
      </c>
      <c r="Q15" s="280">
        <f t="shared" si="0"/>
        <v>16</v>
      </c>
      <c r="R15" s="280">
        <f t="shared" si="0"/>
        <v>17</v>
      </c>
      <c r="S15" s="280">
        <f t="shared" si="0"/>
        <v>18</v>
      </c>
    </row>
    <row r="16" spans="1:19" ht="14.25" customHeight="1">
      <c r="A16" s="233">
        <v>1</v>
      </c>
      <c r="B16" s="233" t="s">
        <v>119</v>
      </c>
      <c r="C16" s="234" t="s">
        <v>120</v>
      </c>
      <c r="D16" s="233">
        <v>11</v>
      </c>
      <c r="E16" s="889" t="s">
        <v>179</v>
      </c>
      <c r="F16" s="819">
        <v>0.2232</v>
      </c>
      <c r="G16" s="820">
        <v>3.24</v>
      </c>
      <c r="H16" s="313">
        <v>5</v>
      </c>
      <c r="I16" s="833">
        <v>0.66304</v>
      </c>
      <c r="J16" s="315">
        <v>31</v>
      </c>
      <c r="K16" s="316">
        <f>ROUND(F16*H16*J16/1000,5)</f>
        <v>0.0346</v>
      </c>
      <c r="L16" s="316">
        <f>ROUND(G16*H16*J16/1000,5)</f>
        <v>0.5022</v>
      </c>
      <c r="M16" s="819">
        <f>F16</f>
        <v>0.2232</v>
      </c>
      <c r="N16" s="238">
        <v>3.24</v>
      </c>
      <c r="O16" s="313">
        <v>5</v>
      </c>
      <c r="P16" s="833">
        <v>0.66304</v>
      </c>
      <c r="Q16" s="315">
        <f>J16</f>
        <v>31</v>
      </c>
      <c r="R16" s="316">
        <f>ROUND(M16*O16*Q16/1000,5)</f>
        <v>0.0346</v>
      </c>
      <c r="S16" s="316">
        <f>ROUND(N16*O16*Q16/1000,5)</f>
        <v>0.5022</v>
      </c>
    </row>
    <row r="17" spans="1:19" ht="12.75">
      <c r="A17" s="233"/>
      <c r="B17" s="233"/>
      <c r="C17" s="796"/>
      <c r="D17" s="319"/>
      <c r="E17" s="889"/>
      <c r="F17" s="819">
        <v>0.0854</v>
      </c>
      <c r="G17" s="820">
        <v>1.24</v>
      </c>
      <c r="H17" s="313">
        <v>5</v>
      </c>
      <c r="I17" s="833">
        <v>0.06435</v>
      </c>
      <c r="J17" s="315">
        <v>1</v>
      </c>
      <c r="K17" s="316">
        <f>ROUND(F17*H17*J17/1000,5)</f>
        <v>0.00043</v>
      </c>
      <c r="L17" s="316">
        <f>ROUND(G17*H17*J17/1000,5)</f>
        <v>0.0062</v>
      </c>
      <c r="M17" s="819">
        <f>F17</f>
        <v>0.0854</v>
      </c>
      <c r="N17" s="238">
        <f>G17</f>
        <v>1.24</v>
      </c>
      <c r="O17" s="313">
        <v>5</v>
      </c>
      <c r="P17" s="833">
        <v>0.06435</v>
      </c>
      <c r="Q17" s="315">
        <f>J17</f>
        <v>1</v>
      </c>
      <c r="R17" s="316">
        <f>ROUND(M17*O17*Q17/1000,5)</f>
        <v>0.00043</v>
      </c>
      <c r="S17" s="316">
        <f>ROUND(N17*O17*Q17/1000,5)</f>
        <v>0.0062</v>
      </c>
    </row>
    <row r="18" spans="1:19" ht="12.75">
      <c r="A18" s="233"/>
      <c r="B18" s="233"/>
      <c r="C18" s="796"/>
      <c r="D18" s="319"/>
      <c r="E18" s="889"/>
      <c r="F18" s="819"/>
      <c r="G18" s="820"/>
      <c r="H18" s="313"/>
      <c r="I18" s="315"/>
      <c r="J18" s="315"/>
      <c r="K18" s="316">
        <f>ROUND(F18*H18*J18/1000,5)</f>
        <v>0</v>
      </c>
      <c r="L18" s="316">
        <f>ROUND(G18*H18*J18/1000,5)</f>
        <v>0</v>
      </c>
      <c r="M18" s="819"/>
      <c r="N18" s="238"/>
      <c r="O18" s="313"/>
      <c r="P18" s="315"/>
      <c r="Q18" s="315"/>
      <c r="R18" s="316">
        <f>ROUND(M18*O18*Q18/1000,5)</f>
        <v>0</v>
      </c>
      <c r="S18" s="316">
        <f>ROUND(N18*O18*Q18/1000,5)</f>
        <v>0</v>
      </c>
    </row>
    <row r="19" spans="1:19" ht="12.75">
      <c r="A19" s="321"/>
      <c r="B19" s="322"/>
      <c r="C19" s="323"/>
      <c r="D19" s="323"/>
      <c r="E19" s="323"/>
      <c r="F19" s="235"/>
      <c r="G19" s="238"/>
      <c r="H19" s="313"/>
      <c r="I19" s="315"/>
      <c r="J19" s="320"/>
      <c r="K19" s="316"/>
      <c r="L19" s="316"/>
      <c r="M19" s="235"/>
      <c r="N19" s="238"/>
      <c r="O19" s="313"/>
      <c r="P19" s="315"/>
      <c r="Q19" s="320"/>
      <c r="R19" s="316"/>
      <c r="S19" s="316"/>
    </row>
    <row r="20" spans="1:19" ht="12.75">
      <c r="A20" s="321"/>
      <c r="B20" s="322"/>
      <c r="C20" s="323"/>
      <c r="D20" s="324"/>
      <c r="E20" s="325" t="s">
        <v>180</v>
      </c>
      <c r="F20" s="326">
        <f>G20*0.0689</f>
        <v>14.151371</v>
      </c>
      <c r="G20" s="834">
        <v>205.39</v>
      </c>
      <c r="H20" s="328">
        <v>5</v>
      </c>
      <c r="I20" s="832">
        <v>3.86277</v>
      </c>
      <c r="J20" s="329">
        <v>175</v>
      </c>
      <c r="K20" s="330">
        <f>ROUND(F20*H20*J20/1000,5)</f>
        <v>12.38245</v>
      </c>
      <c r="L20" s="330">
        <f>ROUND(G20*H20*J20/1000,5)</f>
        <v>179.71625</v>
      </c>
      <c r="M20" s="326">
        <f>F20</f>
        <v>14.151371</v>
      </c>
      <c r="N20" s="326">
        <f>G20</f>
        <v>205.39</v>
      </c>
      <c r="O20" s="328">
        <v>5</v>
      </c>
      <c r="P20" s="832">
        <v>3.86277</v>
      </c>
      <c r="Q20" s="329">
        <f>J20</f>
        <v>175</v>
      </c>
      <c r="R20" s="330">
        <f>ROUND(M20*O20*Q20/1000,5)</f>
        <v>12.38245</v>
      </c>
      <c r="S20" s="330">
        <f>ROUND(N20*O20*Q20/1000,5)</f>
        <v>179.71625</v>
      </c>
    </row>
    <row r="21" spans="1:19" ht="12.75">
      <c r="A21" s="321"/>
      <c r="B21" s="322"/>
      <c r="C21" s="323"/>
      <c r="D21" s="323"/>
      <c r="E21" s="331" t="s">
        <v>181</v>
      </c>
      <c r="F21" s="326"/>
      <c r="G21" s="327"/>
      <c r="H21" s="328"/>
      <c r="I21" s="332"/>
      <c r="J21" s="332"/>
      <c r="K21" s="333">
        <f>ROUND(F21*H21*I21/1000,5)</f>
        <v>0</v>
      </c>
      <c r="L21" s="333">
        <f>ROUND(G21*H21*I21/1000,5)</f>
        <v>0</v>
      </c>
      <c r="M21" s="326">
        <f>F21</f>
        <v>0</v>
      </c>
      <c r="N21" s="326">
        <f>G21</f>
        <v>0</v>
      </c>
      <c r="O21" s="328"/>
      <c r="P21" s="332"/>
      <c r="Q21" s="332"/>
      <c r="R21" s="333">
        <f>ROUND(M21*O21*P21/1000,5)</f>
        <v>0</v>
      </c>
      <c r="S21" s="333">
        <f>ROUND(N21*O21*P21/1000,5)</f>
        <v>0</v>
      </c>
    </row>
    <row r="22" spans="1:19" s="343" customFormat="1" ht="12.75">
      <c r="A22" s="334"/>
      <c r="B22" s="335"/>
      <c r="C22" s="336"/>
      <c r="D22" s="336"/>
      <c r="E22" s="336"/>
      <c r="F22" s="337"/>
      <c r="G22" s="338"/>
      <c r="H22" s="339"/>
      <c r="I22" s="340"/>
      <c r="J22" s="341"/>
      <c r="K22" s="342"/>
      <c r="L22" s="342"/>
      <c r="M22" s="337"/>
      <c r="N22" s="338"/>
      <c r="O22" s="339"/>
      <c r="P22" s="340"/>
      <c r="Q22" s="341"/>
      <c r="R22" s="342"/>
      <c r="S22" s="342"/>
    </row>
    <row r="23" spans="1:19" ht="12.75">
      <c r="A23" s="321"/>
      <c r="B23" s="322"/>
      <c r="C23" s="323"/>
      <c r="D23" s="323"/>
      <c r="E23" s="323"/>
      <c r="F23" s="235"/>
      <c r="G23" s="238"/>
      <c r="H23" s="313"/>
      <c r="I23" s="315"/>
      <c r="J23" s="320"/>
      <c r="K23" s="316"/>
      <c r="L23" s="316"/>
      <c r="M23" s="235"/>
      <c r="N23" s="238"/>
      <c r="O23" s="313"/>
      <c r="P23" s="315"/>
      <c r="Q23" s="320"/>
      <c r="R23" s="316"/>
      <c r="S23" s="316"/>
    </row>
    <row r="24" spans="1:19" s="348" customFormat="1" ht="24" customHeight="1">
      <c r="A24" s="891" t="s">
        <v>121</v>
      </c>
      <c r="B24" s="891"/>
      <c r="C24" s="891"/>
      <c r="D24" s="805"/>
      <c r="E24" s="250"/>
      <c r="F24" s="344">
        <f>ROUND(K24/J24/H24*1000,8)</f>
        <v>11.99756522</v>
      </c>
      <c r="G24" s="345">
        <f>ROUND(L24/J24/H24*1000,8)</f>
        <v>174.13009662</v>
      </c>
      <c r="H24" s="346">
        <v>5</v>
      </c>
      <c r="I24" s="347">
        <f>SUM(I16:I23)-I21</f>
        <v>4.59016</v>
      </c>
      <c r="J24" s="347">
        <f>SUM(J16:J23)-J21</f>
        <v>207</v>
      </c>
      <c r="K24" s="789">
        <f>SUM(K16:K23)</f>
        <v>12.417480000000001</v>
      </c>
      <c r="L24" s="789">
        <f>SUM(L16:L23)</f>
        <v>180.22465</v>
      </c>
      <c r="M24" s="344">
        <f>ROUND(R24/Q24/O24*1000,8)</f>
        <v>11.99756522</v>
      </c>
      <c r="N24" s="345">
        <f>ROUND(S24/Q24/O24*1000,8)</f>
        <v>174.13009662</v>
      </c>
      <c r="O24" s="346">
        <v>5</v>
      </c>
      <c r="P24" s="347">
        <f>SUM(P16:P23)-P21</f>
        <v>4.59016</v>
      </c>
      <c r="Q24" s="347">
        <f>SUM(Q16:Q23)-Q21</f>
        <v>207</v>
      </c>
      <c r="R24" s="252">
        <f>SUM(R16:R23)</f>
        <v>12.417480000000001</v>
      </c>
      <c r="S24" s="252">
        <f>SUM(S16:S23)</f>
        <v>180.22465</v>
      </c>
    </row>
    <row r="25" spans="1:2" ht="12.75">
      <c r="A25" s="246"/>
      <c r="B25" s="246"/>
    </row>
    <row r="27" ht="12.75">
      <c r="B27" s="247" t="s">
        <v>182</v>
      </c>
    </row>
    <row r="29" spans="1:19" ht="12.75" customHeight="1">
      <c r="A29" s="889" t="s">
        <v>105</v>
      </c>
      <c r="B29" s="889" t="s">
        <v>106</v>
      </c>
      <c r="C29" s="889" t="s">
        <v>107</v>
      </c>
      <c r="D29" s="889" t="s">
        <v>108</v>
      </c>
      <c r="E29" s="349"/>
      <c r="F29" s="890" t="s">
        <v>137</v>
      </c>
      <c r="G29" s="890"/>
      <c r="H29" s="890"/>
      <c r="I29" s="890"/>
      <c r="J29" s="890"/>
      <c r="K29" s="890"/>
      <c r="L29" s="890"/>
      <c r="M29" s="903" t="s">
        <v>440</v>
      </c>
      <c r="N29" s="903"/>
      <c r="O29" s="903"/>
      <c r="P29" s="903"/>
      <c r="Q29" s="903"/>
      <c r="R29" s="903"/>
      <c r="S29" s="903"/>
    </row>
    <row r="30" spans="1:19" ht="70.5" customHeight="1">
      <c r="A30" s="889"/>
      <c r="B30" s="889"/>
      <c r="C30" s="889"/>
      <c r="D30" s="889"/>
      <c r="E30" s="350"/>
      <c r="F30" s="906" t="s">
        <v>123</v>
      </c>
      <c r="G30" s="906"/>
      <c r="H30" s="306" t="s">
        <v>124</v>
      </c>
      <c r="I30" s="306" t="s">
        <v>183</v>
      </c>
      <c r="J30" s="307" t="s">
        <v>172</v>
      </c>
      <c r="K30" s="907" t="s">
        <v>173</v>
      </c>
      <c r="L30" s="907"/>
      <c r="M30" s="906" t="s">
        <v>125</v>
      </c>
      <c r="N30" s="906"/>
      <c r="O30" s="306" t="s">
        <v>111</v>
      </c>
      <c r="P30" s="306" t="s">
        <v>183</v>
      </c>
      <c r="Q30" s="307" t="s">
        <v>172</v>
      </c>
      <c r="R30" s="907" t="s">
        <v>173</v>
      </c>
      <c r="S30" s="907"/>
    </row>
    <row r="31" spans="1:19" ht="12.75">
      <c r="A31" s="889"/>
      <c r="B31" s="889"/>
      <c r="C31" s="889"/>
      <c r="D31" s="889"/>
      <c r="E31" s="352"/>
      <c r="F31" s="309" t="s">
        <v>40</v>
      </c>
      <c r="G31" s="310" t="s">
        <v>184</v>
      </c>
      <c r="H31" s="311" t="s">
        <v>117</v>
      </c>
      <c r="I31" s="311" t="s">
        <v>118</v>
      </c>
      <c r="J31" s="311" t="s">
        <v>176</v>
      </c>
      <c r="K31" s="311" t="s">
        <v>42</v>
      </c>
      <c r="L31" s="225" t="s">
        <v>177</v>
      </c>
      <c r="M31" s="310" t="s">
        <v>40</v>
      </c>
      <c r="N31" s="310" t="s">
        <v>175</v>
      </c>
      <c r="O31" s="311" t="s">
        <v>117</v>
      </c>
      <c r="P31" s="311" t="s">
        <v>118</v>
      </c>
      <c r="Q31" s="311" t="s">
        <v>176</v>
      </c>
      <c r="R31" s="311" t="s">
        <v>42</v>
      </c>
      <c r="S31" s="225" t="s">
        <v>177</v>
      </c>
    </row>
    <row r="32" spans="1:19" ht="12.75">
      <c r="A32" s="280">
        <v>1</v>
      </c>
      <c r="B32" s="280">
        <f>A32+1</f>
        <v>2</v>
      </c>
      <c r="C32" s="280">
        <f>B32+1</f>
        <v>3</v>
      </c>
      <c r="D32" s="280">
        <f>C32+1</f>
        <v>4</v>
      </c>
      <c r="E32" s="280"/>
      <c r="F32" s="280">
        <f>D32+1</f>
        <v>5</v>
      </c>
      <c r="G32" s="280">
        <f aca="true" t="shared" si="1" ref="G32:S32">F32+1</f>
        <v>6</v>
      </c>
      <c r="H32" s="280">
        <f t="shared" si="1"/>
        <v>7</v>
      </c>
      <c r="I32" s="280">
        <f t="shared" si="1"/>
        <v>8</v>
      </c>
      <c r="J32" s="280">
        <f t="shared" si="1"/>
        <v>9</v>
      </c>
      <c r="K32" s="280">
        <f t="shared" si="1"/>
        <v>10</v>
      </c>
      <c r="L32" s="280">
        <f t="shared" si="1"/>
        <v>11</v>
      </c>
      <c r="M32" s="280">
        <f t="shared" si="1"/>
        <v>12</v>
      </c>
      <c r="N32" s="280">
        <f t="shared" si="1"/>
        <v>13</v>
      </c>
      <c r="O32" s="280">
        <f t="shared" si="1"/>
        <v>14</v>
      </c>
      <c r="P32" s="280">
        <f t="shared" si="1"/>
        <v>15</v>
      </c>
      <c r="Q32" s="280">
        <f t="shared" si="1"/>
        <v>16</v>
      </c>
      <c r="R32" s="280">
        <f t="shared" si="1"/>
        <v>17</v>
      </c>
      <c r="S32" s="280">
        <f t="shared" si="1"/>
        <v>18</v>
      </c>
    </row>
    <row r="33" spans="1:19" ht="12.75">
      <c r="A33" s="233"/>
      <c r="B33" s="234"/>
      <c r="C33" s="234"/>
      <c r="D33" s="234"/>
      <c r="E33" s="234"/>
      <c r="F33" s="235"/>
      <c r="G33" s="238"/>
      <c r="H33" s="313"/>
      <c r="I33" s="353"/>
      <c r="J33" s="249"/>
      <c r="K33" s="316">
        <f>ROUND(F33*H33/1000,5)</f>
        <v>0</v>
      </c>
      <c r="L33" s="316">
        <f>ROUND(G33*H33/1000,5)</f>
        <v>0</v>
      </c>
      <c r="M33" s="235"/>
      <c r="N33" s="235"/>
      <c r="O33" s="313">
        <v>6</v>
      </c>
      <c r="P33" s="353">
        <f aca="true" t="shared" si="2" ref="P33:Q35">I33</f>
        <v>0</v>
      </c>
      <c r="Q33" s="249">
        <f t="shared" si="2"/>
        <v>0</v>
      </c>
      <c r="R33" s="316">
        <f>ROUND(M33*O33/1000,5)</f>
        <v>0</v>
      </c>
      <c r="S33" s="316">
        <f>ROUND(N33*O33/1000,5)</f>
        <v>0</v>
      </c>
    </row>
    <row r="34" spans="1:19" ht="12.75">
      <c r="A34" s="233"/>
      <c r="B34" s="233"/>
      <c r="C34" s="318"/>
      <c r="D34" s="318"/>
      <c r="E34" s="318"/>
      <c r="F34" s="235"/>
      <c r="G34" s="238"/>
      <c r="H34" s="313"/>
      <c r="I34" s="317"/>
      <c r="J34" s="315"/>
      <c r="K34" s="316">
        <f>ROUND(F34*H34/1000,5)</f>
        <v>0</v>
      </c>
      <c r="L34" s="316">
        <f>ROUND(G34*H34/1000,5)</f>
        <v>0</v>
      </c>
      <c r="M34" s="235"/>
      <c r="N34" s="235"/>
      <c r="O34" s="313">
        <v>6</v>
      </c>
      <c r="P34" s="353">
        <f t="shared" si="2"/>
        <v>0</v>
      </c>
      <c r="Q34" s="249">
        <f t="shared" si="2"/>
        <v>0</v>
      </c>
      <c r="R34" s="316">
        <f>ROUND(M34*O34/1000,5)</f>
        <v>0</v>
      </c>
      <c r="S34" s="316">
        <f>ROUND(N34*O34/1000,5)</f>
        <v>0</v>
      </c>
    </row>
    <row r="35" spans="1:19" ht="12.75">
      <c r="A35" s="233"/>
      <c r="B35" s="233"/>
      <c r="C35" s="318"/>
      <c r="D35" s="318"/>
      <c r="E35" s="318"/>
      <c r="F35" s="235"/>
      <c r="G35" s="238"/>
      <c r="H35" s="313"/>
      <c r="I35" s="315"/>
      <c r="J35" s="320"/>
      <c r="K35" s="316">
        <f>ROUND(F35*H35/1000,5)</f>
        <v>0</v>
      </c>
      <c r="L35" s="316">
        <f>ROUND(G35*H35/1000,5)</f>
        <v>0</v>
      </c>
      <c r="M35" s="235"/>
      <c r="N35" s="235"/>
      <c r="O35" s="313">
        <v>6</v>
      </c>
      <c r="P35" s="353">
        <f t="shared" si="2"/>
        <v>0</v>
      </c>
      <c r="Q35" s="249">
        <f t="shared" si="2"/>
        <v>0</v>
      </c>
      <c r="R35" s="316">
        <f>ROUND(M35*O35/1000,5)</f>
        <v>0</v>
      </c>
      <c r="S35" s="316">
        <f>ROUND(N35*O35/1000,5)</f>
        <v>0</v>
      </c>
    </row>
    <row r="36" spans="1:19" ht="12.75">
      <c r="A36" s="321"/>
      <c r="B36" s="322"/>
      <c r="C36" s="323"/>
      <c r="D36" s="323"/>
      <c r="E36" s="323"/>
      <c r="F36" s="235"/>
      <c r="G36" s="238"/>
      <c r="H36" s="313"/>
      <c r="I36" s="315"/>
      <c r="J36" s="320"/>
      <c r="K36" s="316"/>
      <c r="L36" s="316"/>
      <c r="M36" s="235"/>
      <c r="N36" s="238"/>
      <c r="O36" s="313"/>
      <c r="P36" s="315"/>
      <c r="Q36" s="320"/>
      <c r="R36" s="316"/>
      <c r="S36" s="316"/>
    </row>
    <row r="37" spans="1:19" ht="27" customHeight="1">
      <c r="A37" s="891" t="s">
        <v>121</v>
      </c>
      <c r="B37" s="891"/>
      <c r="C37" s="891"/>
      <c r="D37" s="250"/>
      <c r="E37" s="250"/>
      <c r="F37" s="354" t="e">
        <f>ROUND(K37/J37/H37*1000,6)</f>
        <v>#DIV/0!</v>
      </c>
      <c r="G37" s="345" t="e">
        <f>ROUND(L37/J37/H37*1000,6)</f>
        <v>#DIV/0!</v>
      </c>
      <c r="H37" s="346">
        <v>6</v>
      </c>
      <c r="I37" s="347">
        <f>SUM(I33:I35)</f>
        <v>0</v>
      </c>
      <c r="J37" s="355">
        <f>SUM(J33:J35)</f>
        <v>0</v>
      </c>
      <c r="K37" s="252">
        <f>SUM(K33:K35)</f>
        <v>0</v>
      </c>
      <c r="L37" s="252">
        <f>SUM(L33:L35)</f>
        <v>0</v>
      </c>
      <c r="M37" s="344" t="e">
        <f>ROUND(R37/Q37/O37*1000,6)</f>
        <v>#DIV/0!</v>
      </c>
      <c r="N37" s="345" t="e">
        <f>ROUND(S37/Q37/O37*1000,6)</f>
        <v>#DIV/0!</v>
      </c>
      <c r="O37" s="346">
        <v>6</v>
      </c>
      <c r="P37" s="347">
        <f>SUM(P33:P35)</f>
        <v>0</v>
      </c>
      <c r="Q37" s="355">
        <f>SUM(Q33:Q35)</f>
        <v>0</v>
      </c>
      <c r="R37" s="252">
        <f>SUM(R33:R35)</f>
        <v>0</v>
      </c>
      <c r="S37" s="252">
        <f>SUM(S33:S35)</f>
        <v>0</v>
      </c>
    </row>
    <row r="39" spans="1:15" s="208" customFormat="1" ht="15.75" customHeight="1">
      <c r="A39" s="274"/>
      <c r="B39" s="904" t="s">
        <v>136</v>
      </c>
      <c r="C39" s="904"/>
      <c r="D39" s="274"/>
      <c r="E39" s="274"/>
      <c r="F39" s="221"/>
      <c r="G39" s="222"/>
      <c r="H39" s="222"/>
      <c r="I39" s="222"/>
      <c r="J39" s="222"/>
      <c r="K39" s="222"/>
      <c r="L39" s="222"/>
      <c r="M39" s="274"/>
      <c r="N39" s="274"/>
      <c r="O39" s="274"/>
    </row>
    <row r="40" spans="1:15" s="208" customFormat="1" ht="15.75">
      <c r="A40" s="274"/>
      <c r="B40" s="275" t="s">
        <v>128</v>
      </c>
      <c r="C40" s="275"/>
      <c r="D40" s="274"/>
      <c r="E40" s="274"/>
      <c r="F40" s="221"/>
      <c r="G40" s="222"/>
      <c r="H40" s="222"/>
      <c r="I40" s="222"/>
      <c r="J40" s="222"/>
      <c r="K40" s="222"/>
      <c r="L40" s="222"/>
      <c r="M40" s="274"/>
      <c r="N40" s="274"/>
      <c r="O40" s="274"/>
    </row>
    <row r="41" spans="2:13" ht="12.75">
      <c r="B41" s="304" t="s">
        <v>168</v>
      </c>
      <c r="G41" s="221"/>
      <c r="H41" s="222"/>
      <c r="I41" s="222"/>
      <c r="J41" s="222"/>
      <c r="K41" s="222"/>
      <c r="L41" s="222"/>
      <c r="M41" s="222"/>
    </row>
    <row r="43" spans="1:19" s="224" customFormat="1" ht="20.25" customHeight="1">
      <c r="A43" s="889" t="s">
        <v>105</v>
      </c>
      <c r="B43" s="889" t="s">
        <v>106</v>
      </c>
      <c r="C43" s="889" t="s">
        <v>107</v>
      </c>
      <c r="D43" s="889" t="s">
        <v>108</v>
      </c>
      <c r="E43" s="889"/>
      <c r="F43" s="890" t="s">
        <v>129</v>
      </c>
      <c r="G43" s="890"/>
      <c r="H43" s="890"/>
      <c r="I43" s="890"/>
      <c r="J43" s="890"/>
      <c r="K43" s="890"/>
      <c r="L43" s="890"/>
      <c r="M43" s="903" t="s">
        <v>442</v>
      </c>
      <c r="N43" s="903"/>
      <c r="O43" s="903"/>
      <c r="P43" s="903"/>
      <c r="Q43" s="903"/>
      <c r="R43" s="903"/>
      <c r="S43" s="903"/>
    </row>
    <row r="44" spans="1:19" ht="100.5" customHeight="1">
      <c r="A44" s="889"/>
      <c r="B44" s="889"/>
      <c r="C44" s="889"/>
      <c r="D44" s="889"/>
      <c r="E44" s="889"/>
      <c r="F44" s="305" t="s">
        <v>169</v>
      </c>
      <c r="G44" s="305" t="s">
        <v>170</v>
      </c>
      <c r="H44" s="306" t="s">
        <v>124</v>
      </c>
      <c r="I44" s="306" t="s">
        <v>171</v>
      </c>
      <c r="J44" s="307" t="s">
        <v>172</v>
      </c>
      <c r="K44" s="907" t="s">
        <v>173</v>
      </c>
      <c r="L44" s="907"/>
      <c r="M44" s="308" t="s">
        <v>169</v>
      </c>
      <c r="N44" s="305" t="s">
        <v>170</v>
      </c>
      <c r="O44" s="306" t="s">
        <v>111</v>
      </c>
      <c r="P44" s="306" t="s">
        <v>171</v>
      </c>
      <c r="Q44" s="307" t="s">
        <v>172</v>
      </c>
      <c r="R44" s="907" t="s">
        <v>173</v>
      </c>
      <c r="S44" s="907"/>
    </row>
    <row r="45" spans="1:19" s="312" customFormat="1" ht="12.75" customHeight="1">
      <c r="A45" s="889"/>
      <c r="B45" s="889"/>
      <c r="C45" s="889"/>
      <c r="D45" s="889"/>
      <c r="E45" s="889"/>
      <c r="F45" s="309" t="s">
        <v>174</v>
      </c>
      <c r="G45" s="310" t="s">
        <v>175</v>
      </c>
      <c r="H45" s="311" t="s">
        <v>117</v>
      </c>
      <c r="I45" s="311" t="s">
        <v>118</v>
      </c>
      <c r="J45" s="311" t="s">
        <v>176</v>
      </c>
      <c r="K45" s="311" t="s">
        <v>42</v>
      </c>
      <c r="L45" s="225" t="s">
        <v>177</v>
      </c>
      <c r="M45" s="310" t="s">
        <v>174</v>
      </c>
      <c r="N45" s="310" t="s">
        <v>175</v>
      </c>
      <c r="O45" s="311" t="s">
        <v>117</v>
      </c>
      <c r="P45" s="311" t="s">
        <v>118</v>
      </c>
      <c r="Q45" s="311" t="s">
        <v>176</v>
      </c>
      <c r="R45" s="311" t="s">
        <v>42</v>
      </c>
      <c r="S45" s="225" t="s">
        <v>177</v>
      </c>
    </row>
    <row r="46" spans="1:19" ht="12.75">
      <c r="A46" s="280">
        <v>1</v>
      </c>
      <c r="B46" s="280">
        <f>A46+1</f>
        <v>2</v>
      </c>
      <c r="C46" s="280">
        <f>B46+1</f>
        <v>3</v>
      </c>
      <c r="D46" s="280">
        <f>C46+1</f>
        <v>4</v>
      </c>
      <c r="E46" s="280" t="s">
        <v>178</v>
      </c>
      <c r="F46" s="280">
        <f>D46+1</f>
        <v>5</v>
      </c>
      <c r="G46" s="280">
        <f aca="true" t="shared" si="3" ref="G46:S46">F46+1</f>
        <v>6</v>
      </c>
      <c r="H46" s="280">
        <f t="shared" si="3"/>
        <v>7</v>
      </c>
      <c r="I46" s="280">
        <f t="shared" si="3"/>
        <v>8</v>
      </c>
      <c r="J46" s="280">
        <f t="shared" si="3"/>
        <v>9</v>
      </c>
      <c r="K46" s="280">
        <f t="shared" si="3"/>
        <v>10</v>
      </c>
      <c r="L46" s="280">
        <f t="shared" si="3"/>
        <v>11</v>
      </c>
      <c r="M46" s="280">
        <f t="shared" si="3"/>
        <v>12</v>
      </c>
      <c r="N46" s="280">
        <f t="shared" si="3"/>
        <v>13</v>
      </c>
      <c r="O46" s="280">
        <f t="shared" si="3"/>
        <v>14</v>
      </c>
      <c r="P46" s="280">
        <f t="shared" si="3"/>
        <v>15</v>
      </c>
      <c r="Q46" s="280">
        <f t="shared" si="3"/>
        <v>16</v>
      </c>
      <c r="R46" s="280">
        <f t="shared" si="3"/>
        <v>17</v>
      </c>
      <c r="S46" s="280">
        <f t="shared" si="3"/>
        <v>18</v>
      </c>
    </row>
    <row r="47" spans="1:19" ht="12.75" customHeight="1">
      <c r="A47" s="233">
        <v>1</v>
      </c>
      <c r="B47" s="233" t="s">
        <v>119</v>
      </c>
      <c r="C47" s="234" t="s">
        <v>120</v>
      </c>
      <c r="D47" s="233">
        <v>11</v>
      </c>
      <c r="E47" s="889" t="s">
        <v>179</v>
      </c>
      <c r="F47" s="819">
        <v>0.2232</v>
      </c>
      <c r="G47" s="238">
        <v>3.24</v>
      </c>
      <c r="H47" s="313">
        <v>1</v>
      </c>
      <c r="I47" s="833">
        <v>0.66304</v>
      </c>
      <c r="J47" s="315">
        <v>31</v>
      </c>
      <c r="K47" s="316">
        <f>ROUND(F47*H47*J47/1000,5)</f>
        <v>0.00692</v>
      </c>
      <c r="L47" s="316">
        <f>ROUND(G47*H47*J47/1000,5)</f>
        <v>0.10044</v>
      </c>
      <c r="M47" s="235"/>
      <c r="N47" s="238"/>
      <c r="O47" s="313"/>
      <c r="P47" s="356"/>
      <c r="Q47" s="315"/>
      <c r="R47" s="316">
        <f>ROUND(M47*O47*Q47/1000,5)</f>
        <v>0</v>
      </c>
      <c r="S47" s="316">
        <f>ROUND(N47*O47*Q47/1000,5)</f>
        <v>0</v>
      </c>
    </row>
    <row r="48" spans="1:19" ht="12.75">
      <c r="A48" s="233">
        <v>2</v>
      </c>
      <c r="B48" s="233"/>
      <c r="C48" s="796"/>
      <c r="D48" s="319"/>
      <c r="E48" s="889"/>
      <c r="F48" s="819">
        <v>0.0854</v>
      </c>
      <c r="G48" s="238">
        <v>1.24</v>
      </c>
      <c r="H48" s="313">
        <v>1</v>
      </c>
      <c r="I48" s="833">
        <v>0.06435</v>
      </c>
      <c r="J48" s="315">
        <v>1</v>
      </c>
      <c r="K48" s="316">
        <f>ROUND(F48*H48*J48/1000,5)</f>
        <v>9E-05</v>
      </c>
      <c r="L48" s="316">
        <f>ROUND(G48*H48*J48/1000,5)</f>
        <v>0.00124</v>
      </c>
      <c r="M48" s="235"/>
      <c r="N48" s="238"/>
      <c r="O48" s="313"/>
      <c r="P48" s="356"/>
      <c r="Q48" s="315"/>
      <c r="R48" s="316">
        <f>ROUND(M48*O48*Q48/1000,5)</f>
        <v>0</v>
      </c>
      <c r="S48" s="316">
        <f>ROUND(N48*O48*Q48/1000,5)</f>
        <v>0</v>
      </c>
    </row>
    <row r="49" spans="1:19" ht="12.75">
      <c r="A49" s="233">
        <v>3</v>
      </c>
      <c r="B49" s="233"/>
      <c r="C49" s="796"/>
      <c r="D49" s="319"/>
      <c r="E49" s="889"/>
      <c r="F49" s="819"/>
      <c r="G49" s="238"/>
      <c r="H49" s="313"/>
      <c r="I49" s="315"/>
      <c r="J49" s="315"/>
      <c r="K49" s="316">
        <f>ROUND(F49*H49*J49/1000,5)</f>
        <v>0</v>
      </c>
      <c r="L49" s="316">
        <f>ROUND(G49*H49*J49/1000,5)</f>
        <v>0</v>
      </c>
      <c r="M49" s="235"/>
      <c r="N49" s="238"/>
      <c r="O49" s="313"/>
      <c r="P49" s="356"/>
      <c r="Q49" s="320"/>
      <c r="R49" s="316">
        <f>ROUND(M49*O49*Q49/1000,5)</f>
        <v>0</v>
      </c>
      <c r="S49" s="316">
        <f>ROUND(N49*O49*Q49/1000,5)</f>
        <v>0</v>
      </c>
    </row>
    <row r="50" spans="1:19" ht="12.75">
      <c r="A50" s="321"/>
      <c r="B50" s="322"/>
      <c r="C50" s="323"/>
      <c r="D50" s="323"/>
      <c r="E50" s="323"/>
      <c r="F50" s="235"/>
      <c r="G50" s="238"/>
      <c r="H50" s="313"/>
      <c r="I50" s="315"/>
      <c r="J50" s="320"/>
      <c r="K50" s="316"/>
      <c r="L50" s="316"/>
      <c r="M50" s="235"/>
      <c r="N50" s="238"/>
      <c r="O50" s="313"/>
      <c r="P50" s="315"/>
      <c r="Q50" s="320"/>
      <c r="R50" s="316"/>
      <c r="S50" s="316"/>
    </row>
    <row r="51" spans="1:19" ht="12.75">
      <c r="A51" s="321"/>
      <c r="B51" s="322"/>
      <c r="C51" s="323"/>
      <c r="D51" s="324"/>
      <c r="E51" s="325" t="s">
        <v>180</v>
      </c>
      <c r="F51" s="326">
        <f>G51*0.0689</f>
        <v>14.151371</v>
      </c>
      <c r="G51" s="327">
        <f>G20</f>
        <v>205.39</v>
      </c>
      <c r="H51" s="328">
        <v>1</v>
      </c>
      <c r="I51" s="832">
        <v>3.86277</v>
      </c>
      <c r="J51" s="329">
        <v>175</v>
      </c>
      <c r="K51" s="330">
        <f>ROUND(F51*H51*J51/1000,5)</f>
        <v>2.47649</v>
      </c>
      <c r="L51" s="330">
        <f>ROUND(G51*H51*J51/1000,5)</f>
        <v>35.94325</v>
      </c>
      <c r="M51" s="326"/>
      <c r="N51" s="326"/>
      <c r="O51" s="328"/>
      <c r="P51" s="329"/>
      <c r="Q51" s="329"/>
      <c r="R51" s="330">
        <f>ROUND(M51*O51/1000,5)</f>
        <v>0</v>
      </c>
      <c r="S51" s="330">
        <f>ROUND(N51*O51/1000,5)</f>
        <v>0</v>
      </c>
    </row>
    <row r="52" spans="1:19" ht="12.75">
      <c r="A52" s="321"/>
      <c r="B52" s="322"/>
      <c r="C52" s="323"/>
      <c r="D52" s="323"/>
      <c r="E52" s="357" t="s">
        <v>181</v>
      </c>
      <c r="F52" s="326"/>
      <c r="G52" s="327"/>
      <c r="H52" s="328"/>
      <c r="I52" s="332"/>
      <c r="J52" s="332"/>
      <c r="K52" s="333">
        <f>ROUND(F52*H52*I52/1000,5)</f>
        <v>0</v>
      </c>
      <c r="L52" s="333">
        <f>ROUND(G52*H52*I52/1000,5)</f>
        <v>0</v>
      </c>
      <c r="M52" s="358">
        <f>F52</f>
        <v>0</v>
      </c>
      <c r="N52" s="358">
        <f>G52</f>
        <v>0</v>
      </c>
      <c r="O52" s="359"/>
      <c r="P52" s="332"/>
      <c r="Q52" s="332"/>
      <c r="R52" s="333">
        <f>ROUND(M52*O52*P52/1000,5)</f>
        <v>0</v>
      </c>
      <c r="S52" s="333">
        <f>ROUND(N52*O52*P52/1000,5)</f>
        <v>0</v>
      </c>
    </row>
    <row r="53" spans="1:19" s="343" customFormat="1" ht="12.75">
      <c r="A53" s="334"/>
      <c r="B53" s="335"/>
      <c r="C53" s="336"/>
      <c r="D53" s="336"/>
      <c r="E53" s="336"/>
      <c r="F53" s="337"/>
      <c r="G53" s="338"/>
      <c r="H53" s="339"/>
      <c r="I53" s="340"/>
      <c r="J53" s="341"/>
      <c r="K53" s="342"/>
      <c r="L53" s="342"/>
      <c r="M53" s="337"/>
      <c r="N53" s="338"/>
      <c r="O53" s="339"/>
      <c r="P53" s="340"/>
      <c r="Q53" s="341"/>
      <c r="R53" s="342"/>
      <c r="S53" s="342"/>
    </row>
    <row r="54" spans="1:19" ht="12.75">
      <c r="A54" s="321"/>
      <c r="B54" s="322"/>
      <c r="C54" s="323"/>
      <c r="D54" s="323"/>
      <c r="E54" s="323"/>
      <c r="F54" s="235"/>
      <c r="G54" s="238"/>
      <c r="H54" s="313"/>
      <c r="I54" s="315"/>
      <c r="J54" s="320"/>
      <c r="K54" s="316"/>
      <c r="L54" s="316"/>
      <c r="M54" s="235"/>
      <c r="N54" s="238"/>
      <c r="O54" s="313"/>
      <c r="P54" s="315"/>
      <c r="Q54" s="320"/>
      <c r="R54" s="316"/>
      <c r="S54" s="316"/>
    </row>
    <row r="55" spans="1:19" s="348" customFormat="1" ht="24" customHeight="1">
      <c r="A55" s="891" t="s">
        <v>121</v>
      </c>
      <c r="B55" s="891"/>
      <c r="C55" s="891"/>
      <c r="D55" s="805">
        <f>SUM(D47:D54)</f>
        <v>11</v>
      </c>
      <c r="E55" s="250"/>
      <c r="F55" s="344">
        <f>ROUND(K55/J55/H55*1000,8)</f>
        <v>11.99758454</v>
      </c>
      <c r="G55" s="345">
        <f>ROUND(L55/J55/H55*1000,8)</f>
        <v>174.13009662</v>
      </c>
      <c r="H55" s="346">
        <v>1</v>
      </c>
      <c r="I55" s="347">
        <f>SUM(I47:I54)-I52</f>
        <v>4.59016</v>
      </c>
      <c r="J55" s="347">
        <f>SUM(J47:J54)-J52</f>
        <v>207</v>
      </c>
      <c r="K55" s="252">
        <f>SUM(K47:K54)</f>
        <v>2.4835000000000003</v>
      </c>
      <c r="L55" s="252">
        <f>SUM(L47:L54)</f>
        <v>36.04493</v>
      </c>
      <c r="M55" s="344" t="e">
        <f>ROUND(R55/Q55/O55*1000,6)</f>
        <v>#DIV/0!</v>
      </c>
      <c r="N55" s="345" t="e">
        <f>ROUND(S55/Q55/O55*1000,6)</f>
        <v>#DIV/0!</v>
      </c>
      <c r="O55" s="346">
        <v>1</v>
      </c>
      <c r="P55" s="347">
        <f>SUM(P47:P54)-P52</f>
        <v>0</v>
      </c>
      <c r="Q55" s="347">
        <f>SUM(Q47:Q54)-Q52</f>
        <v>0</v>
      </c>
      <c r="R55" s="252">
        <f>SUM(R47:R54)</f>
        <v>0</v>
      </c>
      <c r="S55" s="252">
        <f>SUM(S47:S54)</f>
        <v>0</v>
      </c>
    </row>
    <row r="56" spans="1:2" ht="12.75">
      <c r="A56" s="246"/>
      <c r="B56" s="246"/>
    </row>
    <row r="58" ht="12.75">
      <c r="B58" s="247" t="s">
        <v>182</v>
      </c>
    </row>
    <row r="60" spans="1:19" ht="12.75" customHeight="1">
      <c r="A60" s="889" t="s">
        <v>105</v>
      </c>
      <c r="B60" s="889" t="s">
        <v>106</v>
      </c>
      <c r="C60" s="889" t="s">
        <v>107</v>
      </c>
      <c r="D60" s="889" t="s">
        <v>108</v>
      </c>
      <c r="E60" s="349"/>
      <c r="F60" s="890" t="s">
        <v>129</v>
      </c>
      <c r="G60" s="890"/>
      <c r="H60" s="890"/>
      <c r="I60" s="890"/>
      <c r="J60" s="890"/>
      <c r="K60" s="890"/>
      <c r="L60" s="890"/>
      <c r="M60" s="903" t="s">
        <v>442</v>
      </c>
      <c r="N60" s="903"/>
      <c r="O60" s="903"/>
      <c r="P60" s="903"/>
      <c r="Q60" s="903"/>
      <c r="R60" s="903"/>
      <c r="S60" s="903"/>
    </row>
    <row r="61" spans="1:19" ht="70.5" customHeight="1">
      <c r="A61" s="889"/>
      <c r="B61" s="889"/>
      <c r="C61" s="889"/>
      <c r="D61" s="889"/>
      <c r="E61" s="350"/>
      <c r="F61" s="906" t="s">
        <v>123</v>
      </c>
      <c r="G61" s="906"/>
      <c r="H61" s="306" t="s">
        <v>124</v>
      </c>
      <c r="I61" s="306" t="s">
        <v>183</v>
      </c>
      <c r="J61" s="307" t="s">
        <v>172</v>
      </c>
      <c r="K61" s="907" t="s">
        <v>173</v>
      </c>
      <c r="L61" s="907"/>
      <c r="M61" s="906" t="s">
        <v>125</v>
      </c>
      <c r="N61" s="906"/>
      <c r="O61" s="306" t="s">
        <v>111</v>
      </c>
      <c r="P61" s="306" t="s">
        <v>183</v>
      </c>
      <c r="Q61" s="307" t="s">
        <v>172</v>
      </c>
      <c r="R61" s="907" t="s">
        <v>173</v>
      </c>
      <c r="S61" s="907"/>
    </row>
    <row r="62" spans="1:19" ht="12.75">
      <c r="A62" s="889"/>
      <c r="B62" s="889"/>
      <c r="C62" s="889"/>
      <c r="D62" s="889"/>
      <c r="E62" s="352"/>
      <c r="F62" s="309" t="s">
        <v>40</v>
      </c>
      <c r="G62" s="310" t="s">
        <v>184</v>
      </c>
      <c r="H62" s="311" t="s">
        <v>117</v>
      </c>
      <c r="I62" s="311" t="s">
        <v>118</v>
      </c>
      <c r="J62" s="311" t="s">
        <v>176</v>
      </c>
      <c r="K62" s="311" t="s">
        <v>42</v>
      </c>
      <c r="L62" s="225" t="s">
        <v>177</v>
      </c>
      <c r="M62" s="310" t="s">
        <v>40</v>
      </c>
      <c r="N62" s="310" t="s">
        <v>175</v>
      </c>
      <c r="O62" s="311" t="s">
        <v>117</v>
      </c>
      <c r="P62" s="311" t="s">
        <v>118</v>
      </c>
      <c r="Q62" s="311" t="s">
        <v>176</v>
      </c>
      <c r="R62" s="311" t="s">
        <v>42</v>
      </c>
      <c r="S62" s="225" t="s">
        <v>177</v>
      </c>
    </row>
    <row r="63" spans="1:19" ht="12.75">
      <c r="A63" s="280">
        <v>1</v>
      </c>
      <c r="B63" s="280">
        <f>A63+1</f>
        <v>2</v>
      </c>
      <c r="C63" s="280">
        <f>B63+1</f>
        <v>3</v>
      </c>
      <c r="D63" s="280">
        <f>C63+1</f>
        <v>4</v>
      </c>
      <c r="E63" s="280"/>
      <c r="F63" s="280">
        <f>D63+1</f>
        <v>5</v>
      </c>
      <c r="G63" s="280">
        <f aca="true" t="shared" si="4" ref="G63:S63">F63+1</f>
        <v>6</v>
      </c>
      <c r="H63" s="280">
        <f t="shared" si="4"/>
        <v>7</v>
      </c>
      <c r="I63" s="280">
        <f t="shared" si="4"/>
        <v>8</v>
      </c>
      <c r="J63" s="280">
        <f t="shared" si="4"/>
        <v>9</v>
      </c>
      <c r="K63" s="280">
        <f t="shared" si="4"/>
        <v>10</v>
      </c>
      <c r="L63" s="280">
        <f t="shared" si="4"/>
        <v>11</v>
      </c>
      <c r="M63" s="280">
        <f t="shared" si="4"/>
        <v>12</v>
      </c>
      <c r="N63" s="280">
        <f t="shared" si="4"/>
        <v>13</v>
      </c>
      <c r="O63" s="280">
        <f t="shared" si="4"/>
        <v>14</v>
      </c>
      <c r="P63" s="280">
        <f t="shared" si="4"/>
        <v>15</v>
      </c>
      <c r="Q63" s="280">
        <f t="shared" si="4"/>
        <v>16</v>
      </c>
      <c r="R63" s="280">
        <f t="shared" si="4"/>
        <v>17</v>
      </c>
      <c r="S63" s="280">
        <f t="shared" si="4"/>
        <v>18</v>
      </c>
    </row>
    <row r="64" spans="1:19" ht="12.75">
      <c r="A64" s="233"/>
      <c r="B64" s="234"/>
      <c r="C64" s="234"/>
      <c r="D64" s="234"/>
      <c r="E64" s="234"/>
      <c r="F64" s="235"/>
      <c r="G64" s="238"/>
      <c r="H64" s="313"/>
      <c r="I64" s="353"/>
      <c r="J64" s="249"/>
      <c r="K64" s="316">
        <f>ROUND(F64*H64/1000,5)</f>
        <v>0</v>
      </c>
      <c r="L64" s="316">
        <f>ROUND(G64*H64/1000,5)</f>
        <v>0</v>
      </c>
      <c r="M64" s="235"/>
      <c r="N64" s="235"/>
      <c r="O64" s="313">
        <v>6</v>
      </c>
      <c r="P64" s="353">
        <f aca="true" t="shared" si="5" ref="P64:Q66">I64</f>
        <v>0</v>
      </c>
      <c r="Q64" s="249">
        <f t="shared" si="5"/>
        <v>0</v>
      </c>
      <c r="R64" s="316">
        <f>ROUND(M64*O64/1000,5)</f>
        <v>0</v>
      </c>
      <c r="S64" s="316">
        <f>ROUND(N64*O64/1000,5)</f>
        <v>0</v>
      </c>
    </row>
    <row r="65" spans="1:19" ht="12.75">
      <c r="A65" s="233"/>
      <c r="B65" s="233"/>
      <c r="C65" s="318"/>
      <c r="D65" s="318"/>
      <c r="E65" s="318"/>
      <c r="F65" s="235"/>
      <c r="G65" s="238"/>
      <c r="H65" s="313"/>
      <c r="I65" s="317"/>
      <c r="J65" s="315"/>
      <c r="K65" s="316">
        <f>ROUND(F65*H65/1000,5)</f>
        <v>0</v>
      </c>
      <c r="L65" s="316">
        <f>ROUND(G65*H65/1000,5)</f>
        <v>0</v>
      </c>
      <c r="M65" s="235"/>
      <c r="N65" s="235"/>
      <c r="O65" s="313">
        <v>6</v>
      </c>
      <c r="P65" s="353">
        <f t="shared" si="5"/>
        <v>0</v>
      </c>
      <c r="Q65" s="249">
        <f t="shared" si="5"/>
        <v>0</v>
      </c>
      <c r="R65" s="316">
        <f>ROUND(M65*O65/1000,5)</f>
        <v>0</v>
      </c>
      <c r="S65" s="316">
        <f>ROUND(N65*O65/1000,5)</f>
        <v>0</v>
      </c>
    </row>
    <row r="66" spans="1:19" ht="12.75">
      <c r="A66" s="233"/>
      <c r="B66" s="233"/>
      <c r="C66" s="318"/>
      <c r="D66" s="318"/>
      <c r="E66" s="318"/>
      <c r="F66" s="235"/>
      <c r="G66" s="238"/>
      <c r="H66" s="313"/>
      <c r="I66" s="315"/>
      <c r="J66" s="320"/>
      <c r="K66" s="316">
        <f>ROUND(F66*H66/1000,5)</f>
        <v>0</v>
      </c>
      <c r="L66" s="316">
        <f>ROUND(G66*H66/1000,5)</f>
        <v>0</v>
      </c>
      <c r="M66" s="235"/>
      <c r="N66" s="235"/>
      <c r="O66" s="313">
        <v>6</v>
      </c>
      <c r="P66" s="353">
        <f t="shared" si="5"/>
        <v>0</v>
      </c>
      <c r="Q66" s="249">
        <f t="shared" si="5"/>
        <v>0</v>
      </c>
      <c r="R66" s="316">
        <f>ROUND(M66*O66/1000,5)</f>
        <v>0</v>
      </c>
      <c r="S66" s="316">
        <f>ROUND(N66*O66/1000,5)</f>
        <v>0</v>
      </c>
    </row>
    <row r="67" spans="1:19" ht="12.75">
      <c r="A67" s="321"/>
      <c r="B67" s="322"/>
      <c r="C67" s="323"/>
      <c r="D67" s="323"/>
      <c r="E67" s="323"/>
      <c r="F67" s="235"/>
      <c r="G67" s="238"/>
      <c r="H67" s="313"/>
      <c r="I67" s="315"/>
      <c r="J67" s="320"/>
      <c r="K67" s="316"/>
      <c r="L67" s="316"/>
      <c r="M67" s="235"/>
      <c r="N67" s="238"/>
      <c r="O67" s="313"/>
      <c r="P67" s="315"/>
      <c r="Q67" s="320"/>
      <c r="R67" s="316"/>
      <c r="S67" s="316"/>
    </row>
    <row r="68" spans="1:19" ht="27" customHeight="1">
      <c r="A68" s="891" t="s">
        <v>121</v>
      </c>
      <c r="B68" s="891"/>
      <c r="C68" s="891"/>
      <c r="D68" s="250"/>
      <c r="E68" s="250"/>
      <c r="F68" s="354" t="e">
        <f>ROUND(K68/J68/H68*1000,6)</f>
        <v>#DIV/0!</v>
      </c>
      <c r="G68" s="345" t="e">
        <f>ROUND(L68/J68/H68*1000,6)</f>
        <v>#DIV/0!</v>
      </c>
      <c r="H68" s="346">
        <v>6</v>
      </c>
      <c r="I68" s="347">
        <f>SUM(I64:I66)</f>
        <v>0</v>
      </c>
      <c r="J68" s="355">
        <f>SUM(J64:J66)</f>
        <v>0</v>
      </c>
      <c r="K68" s="252">
        <f>SUM(K64:K66)</f>
        <v>0</v>
      </c>
      <c r="L68" s="252">
        <f>SUM(L64:L66)</f>
        <v>0</v>
      </c>
      <c r="M68" s="344" t="e">
        <f>ROUND(R68/Q68/O68*1000,6)</f>
        <v>#DIV/0!</v>
      </c>
      <c r="N68" s="345" t="e">
        <f>ROUND(S68/Q68/O68*1000,6)</f>
        <v>#DIV/0!</v>
      </c>
      <c r="O68" s="346">
        <v>6</v>
      </c>
      <c r="P68" s="347">
        <f>SUM(P64:P66)</f>
        <v>0</v>
      </c>
      <c r="Q68" s="355">
        <f>SUM(Q64:Q66)</f>
        <v>0</v>
      </c>
      <c r="R68" s="252">
        <f>SUM(R64:R66)</f>
        <v>0</v>
      </c>
      <c r="S68" s="252">
        <f>SUM(S64:S66)</f>
        <v>0</v>
      </c>
    </row>
    <row r="69" spans="1:15" s="208" customFormat="1" ht="15.75" customHeight="1">
      <c r="A69" s="274"/>
      <c r="B69" s="902" t="s">
        <v>157</v>
      </c>
      <c r="C69" s="902"/>
      <c r="D69" s="274"/>
      <c r="E69" s="274"/>
      <c r="F69" s="221"/>
      <c r="G69" s="222"/>
      <c r="H69" s="222"/>
      <c r="I69" s="222"/>
      <c r="J69" s="222"/>
      <c r="K69" s="222"/>
      <c r="L69" s="222"/>
      <c r="M69" s="274"/>
      <c r="N69" s="274"/>
      <c r="O69" s="274"/>
    </row>
    <row r="70" spans="1:15" s="208" customFormat="1" ht="15.75">
      <c r="A70" s="274"/>
      <c r="B70" s="296" t="s">
        <v>128</v>
      </c>
      <c r="C70" s="296"/>
      <c r="D70" s="274"/>
      <c r="E70" s="274"/>
      <c r="F70" s="221"/>
      <c r="G70" s="222"/>
      <c r="H70" s="222"/>
      <c r="I70" s="222"/>
      <c r="J70" s="222"/>
      <c r="K70" s="222"/>
      <c r="L70" s="222"/>
      <c r="M70" s="274"/>
      <c r="N70" s="274"/>
      <c r="O70" s="274"/>
    </row>
    <row r="71" spans="1:15" s="208" customFormat="1" ht="7.5" customHeight="1">
      <c r="A71" s="274"/>
      <c r="B71" s="360"/>
      <c r="C71" s="360"/>
      <c r="D71" s="274"/>
      <c r="E71" s="274"/>
      <c r="F71" s="221"/>
      <c r="G71" s="222"/>
      <c r="H71" s="222"/>
      <c r="I71" s="222"/>
      <c r="J71" s="222"/>
      <c r="K71" s="222"/>
      <c r="L71" s="222"/>
      <c r="M71" s="274"/>
      <c r="N71" s="274"/>
      <c r="O71" s="274"/>
    </row>
    <row r="72" spans="2:13" ht="12.75">
      <c r="B72" s="304" t="s">
        <v>168</v>
      </c>
      <c r="G72" s="221"/>
      <c r="H72" s="222"/>
      <c r="I72" s="222"/>
      <c r="J72" s="222"/>
      <c r="K72" s="222"/>
      <c r="L72" s="222"/>
      <c r="M72" s="222"/>
    </row>
    <row r="74" spans="1:19" s="224" customFormat="1" ht="20.25" customHeight="1">
      <c r="A74" s="889" t="s">
        <v>105</v>
      </c>
      <c r="B74" s="889" t="s">
        <v>106</v>
      </c>
      <c r="C74" s="889" t="s">
        <v>107</v>
      </c>
      <c r="D74" s="889" t="s">
        <v>108</v>
      </c>
      <c r="E74" s="889"/>
      <c r="F74" s="890" t="s">
        <v>131</v>
      </c>
      <c r="G74" s="890"/>
      <c r="H74" s="890"/>
      <c r="I74" s="890"/>
      <c r="J74" s="890"/>
      <c r="K74" s="890"/>
      <c r="L74" s="890"/>
      <c r="M74" s="899" t="s">
        <v>430</v>
      </c>
      <c r="N74" s="899"/>
      <c r="O74" s="899"/>
      <c r="P74" s="899"/>
      <c r="Q74" s="899"/>
      <c r="R74" s="899"/>
      <c r="S74" s="899"/>
    </row>
    <row r="75" spans="1:19" ht="126.75" customHeight="1">
      <c r="A75" s="889"/>
      <c r="B75" s="889"/>
      <c r="C75" s="889"/>
      <c r="D75" s="889"/>
      <c r="E75" s="889"/>
      <c r="F75" s="305" t="s">
        <v>169</v>
      </c>
      <c r="G75" s="305" t="s">
        <v>170</v>
      </c>
      <c r="H75" s="306" t="s">
        <v>124</v>
      </c>
      <c r="I75" s="306" t="s">
        <v>171</v>
      </c>
      <c r="J75" s="307" t="s">
        <v>172</v>
      </c>
      <c r="K75" s="907" t="s">
        <v>173</v>
      </c>
      <c r="L75" s="907"/>
      <c r="M75" s="308" t="s">
        <v>169</v>
      </c>
      <c r="N75" s="305" t="s">
        <v>170</v>
      </c>
      <c r="O75" s="306" t="s">
        <v>111</v>
      </c>
      <c r="P75" s="306" t="s">
        <v>171</v>
      </c>
      <c r="Q75" s="307" t="s">
        <v>172</v>
      </c>
      <c r="R75" s="907" t="s">
        <v>173</v>
      </c>
      <c r="S75" s="907"/>
    </row>
    <row r="76" spans="1:19" s="312" customFormat="1" ht="12.75" customHeight="1">
      <c r="A76" s="889"/>
      <c r="B76" s="889"/>
      <c r="C76" s="889"/>
      <c r="D76" s="889"/>
      <c r="E76" s="889"/>
      <c r="F76" s="309" t="s">
        <v>174</v>
      </c>
      <c r="G76" s="310" t="s">
        <v>175</v>
      </c>
      <c r="H76" s="311" t="s">
        <v>117</v>
      </c>
      <c r="I76" s="311" t="s">
        <v>118</v>
      </c>
      <c r="J76" s="311" t="s">
        <v>176</v>
      </c>
      <c r="K76" s="311" t="s">
        <v>42</v>
      </c>
      <c r="L76" s="225" t="s">
        <v>177</v>
      </c>
      <c r="M76" s="310" t="s">
        <v>174</v>
      </c>
      <c r="N76" s="310" t="s">
        <v>175</v>
      </c>
      <c r="O76" s="311" t="s">
        <v>117</v>
      </c>
      <c r="P76" s="311" t="s">
        <v>118</v>
      </c>
      <c r="Q76" s="311" t="s">
        <v>176</v>
      </c>
      <c r="R76" s="311" t="s">
        <v>42</v>
      </c>
      <c r="S76" s="225" t="s">
        <v>177</v>
      </c>
    </row>
    <row r="77" spans="1:19" ht="12.75">
      <c r="A77" s="280">
        <v>1</v>
      </c>
      <c r="B77" s="280">
        <f>A77+1</f>
        <v>2</v>
      </c>
      <c r="C77" s="280">
        <f>B77+1</f>
        <v>3</v>
      </c>
      <c r="D77" s="280">
        <f>C77+1</f>
        <v>4</v>
      </c>
      <c r="E77" s="280" t="s">
        <v>178</v>
      </c>
      <c r="F77" s="280">
        <f>D77+1</f>
        <v>5</v>
      </c>
      <c r="G77" s="280">
        <f aca="true" t="shared" si="6" ref="G77:S77">F77+1</f>
        <v>6</v>
      </c>
      <c r="H77" s="280">
        <f t="shared" si="6"/>
        <v>7</v>
      </c>
      <c r="I77" s="280">
        <f t="shared" si="6"/>
        <v>8</v>
      </c>
      <c r="J77" s="280">
        <f t="shared" si="6"/>
        <v>9</v>
      </c>
      <c r="K77" s="280">
        <f t="shared" si="6"/>
        <v>10</v>
      </c>
      <c r="L77" s="280">
        <f t="shared" si="6"/>
        <v>11</v>
      </c>
      <c r="M77" s="280">
        <f t="shared" si="6"/>
        <v>12</v>
      </c>
      <c r="N77" s="280">
        <f t="shared" si="6"/>
        <v>13</v>
      </c>
      <c r="O77" s="280">
        <f t="shared" si="6"/>
        <v>14</v>
      </c>
      <c r="P77" s="280">
        <f t="shared" si="6"/>
        <v>15</v>
      </c>
      <c r="Q77" s="280">
        <f t="shared" si="6"/>
        <v>16</v>
      </c>
      <c r="R77" s="280">
        <f t="shared" si="6"/>
        <v>17</v>
      </c>
      <c r="S77" s="280">
        <f t="shared" si="6"/>
        <v>18</v>
      </c>
    </row>
    <row r="78" spans="1:19" ht="12.75" customHeight="1">
      <c r="A78" s="233">
        <v>1</v>
      </c>
      <c r="B78" s="233" t="s">
        <v>119</v>
      </c>
      <c r="C78" s="234" t="s">
        <v>120</v>
      </c>
      <c r="D78" s="233">
        <v>11</v>
      </c>
      <c r="E78" s="889" t="s">
        <v>179</v>
      </c>
      <c r="F78" s="819">
        <v>0.2232</v>
      </c>
      <c r="G78" s="238">
        <v>3.24</v>
      </c>
      <c r="H78" s="313">
        <v>2</v>
      </c>
      <c r="I78" s="833">
        <v>0.66304</v>
      </c>
      <c r="J78" s="315">
        <v>31</v>
      </c>
      <c r="K78" s="316">
        <f>ROUND(F78*H78*J78/1000,5)</f>
        <v>0.01384</v>
      </c>
      <c r="L78" s="316">
        <f>ROUND(G78*H78*J78/1000,5)</f>
        <v>0.20088</v>
      </c>
      <c r="M78" s="235"/>
      <c r="N78" s="238"/>
      <c r="O78" s="313"/>
      <c r="P78" s="317"/>
      <c r="Q78" s="315"/>
      <c r="R78" s="316">
        <f>ROUND(M78*O78*Q78/1000,5)</f>
        <v>0</v>
      </c>
      <c r="S78" s="316">
        <f>ROUND(N78*O78*Q78/1000,5)</f>
        <v>0</v>
      </c>
    </row>
    <row r="79" spans="1:19" ht="12.75">
      <c r="A79" s="233">
        <v>2</v>
      </c>
      <c r="B79" s="794"/>
      <c r="C79" s="795"/>
      <c r="D79" s="319"/>
      <c r="E79" s="889"/>
      <c r="F79" s="819">
        <v>0.0854</v>
      </c>
      <c r="G79" s="238">
        <v>1.24</v>
      </c>
      <c r="H79" s="313">
        <v>2</v>
      </c>
      <c r="I79" s="833">
        <v>0.06435</v>
      </c>
      <c r="J79" s="315">
        <v>1</v>
      </c>
      <c r="K79" s="316">
        <f>ROUND(F79*H79*J79/1000,5)</f>
        <v>0.00017</v>
      </c>
      <c r="L79" s="316">
        <f>ROUND(G79*H79*J79/1000,5)</f>
        <v>0.00248</v>
      </c>
      <c r="M79" s="235"/>
      <c r="N79" s="238"/>
      <c r="O79" s="313"/>
      <c r="P79" s="317"/>
      <c r="Q79" s="315"/>
      <c r="R79" s="316">
        <f>ROUND(M79*O79*Q79/1000,5)</f>
        <v>0</v>
      </c>
      <c r="S79" s="316">
        <f>ROUND(N79*O79*Q79/1000,5)</f>
        <v>0</v>
      </c>
    </row>
    <row r="80" spans="1:19" ht="12.75">
      <c r="A80" s="233">
        <v>3</v>
      </c>
      <c r="B80" s="794"/>
      <c r="C80" s="795"/>
      <c r="D80" s="319"/>
      <c r="E80" s="889"/>
      <c r="F80" s="819"/>
      <c r="G80" s="238"/>
      <c r="H80" s="313"/>
      <c r="I80" s="315"/>
      <c r="J80" s="315"/>
      <c r="K80" s="316">
        <f>ROUND(F80*H80*J80/1000,5)</f>
        <v>0</v>
      </c>
      <c r="L80" s="316">
        <f>ROUND(G80*H80*J80/1000,5)</f>
        <v>0</v>
      </c>
      <c r="M80" s="235"/>
      <c r="N80" s="238"/>
      <c r="O80" s="313"/>
      <c r="P80" s="315"/>
      <c r="Q80" s="320"/>
      <c r="R80" s="316">
        <f>ROUND(M80*O80*Q80/1000,5)</f>
        <v>0</v>
      </c>
      <c r="S80" s="316">
        <f>ROUND(N80*O80*Q80/1000,5)</f>
        <v>0</v>
      </c>
    </row>
    <row r="81" spans="1:19" ht="12.75">
      <c r="A81" s="321"/>
      <c r="B81" s="322"/>
      <c r="C81" s="323"/>
      <c r="D81" s="323"/>
      <c r="E81" s="323"/>
      <c r="F81" s="235"/>
      <c r="G81" s="238"/>
      <c r="H81" s="313"/>
      <c r="I81" s="315"/>
      <c r="J81" s="320"/>
      <c r="K81" s="316"/>
      <c r="L81" s="316"/>
      <c r="M81" s="235"/>
      <c r="N81" s="238"/>
      <c r="O81" s="313"/>
      <c r="P81" s="315"/>
      <c r="Q81" s="320"/>
      <c r="R81" s="316"/>
      <c r="S81" s="316"/>
    </row>
    <row r="82" spans="1:19" ht="12.75">
      <c r="A82" s="321"/>
      <c r="B82" s="322"/>
      <c r="C82" s="323"/>
      <c r="D82" s="324"/>
      <c r="E82" s="325" t="s">
        <v>180</v>
      </c>
      <c r="F82" s="806">
        <f>G82*0.0689</f>
        <v>14.151371</v>
      </c>
      <c r="G82" s="327">
        <f>G51</f>
        <v>205.39</v>
      </c>
      <c r="H82" s="328">
        <v>2</v>
      </c>
      <c r="I82" s="832">
        <v>3.86277</v>
      </c>
      <c r="J82" s="329">
        <f>J51</f>
        <v>175</v>
      </c>
      <c r="K82" s="330">
        <f>ROUND(F82*H82*J82/1000,5)</f>
        <v>4.95298</v>
      </c>
      <c r="L82" s="330">
        <f>ROUND(G82*H82*J82/1000,5)</f>
        <v>71.8865</v>
      </c>
      <c r="M82" s="326"/>
      <c r="N82" s="326"/>
      <c r="O82" s="328"/>
      <c r="P82" s="329"/>
      <c r="Q82" s="329"/>
      <c r="R82" s="330">
        <f>ROUND(M82*O82/1000,5)</f>
        <v>0</v>
      </c>
      <c r="S82" s="330">
        <f>ROUND(N82*O82/1000,5)</f>
        <v>0</v>
      </c>
    </row>
    <row r="83" spans="1:19" ht="12.75">
      <c r="A83" s="321"/>
      <c r="B83" s="322"/>
      <c r="C83" s="323"/>
      <c r="D83" s="323"/>
      <c r="E83" s="331" t="s">
        <v>181</v>
      </c>
      <c r="F83" s="326"/>
      <c r="G83" s="327"/>
      <c r="H83" s="328"/>
      <c r="I83" s="332"/>
      <c r="J83" s="332"/>
      <c r="K83" s="333">
        <f>ROUND(F83*H83*I83/1000,5)</f>
        <v>0</v>
      </c>
      <c r="L83" s="333">
        <f>ROUND(G83*H83*I83/1000,5)</f>
        <v>0</v>
      </c>
      <c r="M83" s="326">
        <f>F83</f>
        <v>0</v>
      </c>
      <c r="N83" s="326">
        <f>G83</f>
        <v>0</v>
      </c>
      <c r="O83" s="328"/>
      <c r="P83" s="332"/>
      <c r="Q83" s="332"/>
      <c r="R83" s="333">
        <f>ROUND(M83*O83*P83/1000,5)</f>
        <v>0</v>
      </c>
      <c r="S83" s="333">
        <f>ROUND(N83*O83*P83/1000,5)</f>
        <v>0</v>
      </c>
    </row>
    <row r="84" spans="1:19" s="343" customFormat="1" ht="12.75">
      <c r="A84" s="334"/>
      <c r="B84" s="335"/>
      <c r="C84" s="336"/>
      <c r="D84" s="336"/>
      <c r="E84" s="336"/>
      <c r="F84" s="337"/>
      <c r="G84" s="338"/>
      <c r="H84" s="339"/>
      <c r="I84" s="340"/>
      <c r="J84" s="341"/>
      <c r="K84" s="342"/>
      <c r="L84" s="342"/>
      <c r="M84" s="337"/>
      <c r="N84" s="338"/>
      <c r="O84" s="339"/>
      <c r="P84" s="340"/>
      <c r="Q84" s="341"/>
      <c r="R84" s="342"/>
      <c r="S84" s="342"/>
    </row>
    <row r="85" spans="1:19" ht="12.75">
      <c r="A85" s="321"/>
      <c r="B85" s="322"/>
      <c r="C85" s="323"/>
      <c r="D85" s="323"/>
      <c r="E85" s="323"/>
      <c r="F85" s="235"/>
      <c r="G85" s="238"/>
      <c r="H85" s="313"/>
      <c r="I85" s="315"/>
      <c r="J85" s="320"/>
      <c r="K85" s="316"/>
      <c r="L85" s="316"/>
      <c r="M85" s="235"/>
      <c r="N85" s="238"/>
      <c r="O85" s="313"/>
      <c r="P85" s="315"/>
      <c r="Q85" s="320"/>
      <c r="R85" s="316"/>
      <c r="S85" s="316"/>
    </row>
    <row r="86" spans="1:19" s="348" customFormat="1" ht="24" customHeight="1">
      <c r="A86" s="891" t="s">
        <v>121</v>
      </c>
      <c r="B86" s="891"/>
      <c r="C86" s="891"/>
      <c r="D86" s="805">
        <f>SUM(D78:D85)</f>
        <v>11</v>
      </c>
      <c r="E86" s="250"/>
      <c r="F86" s="344">
        <f>ROUND(K86/J86/H86*1000,8)</f>
        <v>11.99756039</v>
      </c>
      <c r="G86" s="345">
        <f>ROUND(L86/J86/H86*1000,8)</f>
        <v>174.13009662</v>
      </c>
      <c r="H86" s="346">
        <v>2</v>
      </c>
      <c r="I86" s="347">
        <f>SUM(I78:I85)-I83</f>
        <v>4.59016</v>
      </c>
      <c r="J86" s="347">
        <f>SUM(J78:J85)-J83</f>
        <v>207</v>
      </c>
      <c r="K86" s="252">
        <f>SUM(K78:K85)</f>
        <v>4.96699</v>
      </c>
      <c r="L86" s="252">
        <f>SUM(L78:L85)</f>
        <v>72.08986</v>
      </c>
      <c r="M86" s="344" t="e">
        <f>ROUND(R86/Q86/O86*1000,6)</f>
        <v>#DIV/0!</v>
      </c>
      <c r="N86" s="345" t="e">
        <f>ROUND(S86/Q86/O86*1000,6)</f>
        <v>#DIV/0!</v>
      </c>
      <c r="O86" s="346">
        <v>2</v>
      </c>
      <c r="P86" s="347">
        <f>SUM(P78:P85)-P83</f>
        <v>0</v>
      </c>
      <c r="Q86" s="347">
        <f>SUM(Q78:Q85)-Q83</f>
        <v>0</v>
      </c>
      <c r="R86" s="252">
        <f>SUM(R78:R85)</f>
        <v>0</v>
      </c>
      <c r="S86" s="252">
        <f>SUM(S78:S85)</f>
        <v>0</v>
      </c>
    </row>
    <row r="87" spans="1:2" ht="12.75">
      <c r="A87" s="246"/>
      <c r="B87" s="246"/>
    </row>
    <row r="89" ht="12.75">
      <c r="B89" s="247" t="s">
        <v>182</v>
      </c>
    </row>
    <row r="91" spans="1:19" ht="12.75" customHeight="1">
      <c r="A91" s="889" t="s">
        <v>105</v>
      </c>
      <c r="B91" s="889" t="s">
        <v>106</v>
      </c>
      <c r="C91" s="889" t="s">
        <v>107</v>
      </c>
      <c r="D91" s="889" t="s">
        <v>108</v>
      </c>
      <c r="E91" s="349"/>
      <c r="F91" s="890" t="s">
        <v>131</v>
      </c>
      <c r="G91" s="890"/>
      <c r="H91" s="890"/>
      <c r="I91" s="890"/>
      <c r="J91" s="890"/>
      <c r="K91" s="890"/>
      <c r="L91" s="890"/>
      <c r="M91" s="899" t="s">
        <v>430</v>
      </c>
      <c r="N91" s="899"/>
      <c r="O91" s="899"/>
      <c r="P91" s="899"/>
      <c r="Q91" s="899"/>
      <c r="R91" s="899"/>
      <c r="S91" s="899"/>
    </row>
    <row r="92" spans="1:19" ht="67.5" customHeight="1">
      <c r="A92" s="889"/>
      <c r="B92" s="889"/>
      <c r="C92" s="889"/>
      <c r="D92" s="889"/>
      <c r="E92" s="350"/>
      <c r="F92" s="906" t="s">
        <v>123</v>
      </c>
      <c r="G92" s="906"/>
      <c r="H92" s="306" t="s">
        <v>124</v>
      </c>
      <c r="I92" s="306" t="s">
        <v>183</v>
      </c>
      <c r="J92" s="307" t="s">
        <v>172</v>
      </c>
      <c r="K92" s="907" t="s">
        <v>173</v>
      </c>
      <c r="L92" s="907"/>
      <c r="M92" s="906" t="s">
        <v>125</v>
      </c>
      <c r="N92" s="906"/>
      <c r="O92" s="306" t="s">
        <v>111</v>
      </c>
      <c r="P92" s="306" t="s">
        <v>183</v>
      </c>
      <c r="Q92" s="307" t="s">
        <v>172</v>
      </c>
      <c r="R92" s="907" t="s">
        <v>173</v>
      </c>
      <c r="S92" s="907"/>
    </row>
    <row r="93" spans="1:19" ht="12.75">
      <c r="A93" s="889"/>
      <c r="B93" s="889"/>
      <c r="C93" s="889"/>
      <c r="D93" s="889"/>
      <c r="E93" s="352"/>
      <c r="F93" s="309" t="s">
        <v>40</v>
      </c>
      <c r="G93" s="310" t="s">
        <v>184</v>
      </c>
      <c r="H93" s="311" t="s">
        <v>117</v>
      </c>
      <c r="I93" s="311" t="s">
        <v>118</v>
      </c>
      <c r="J93" s="311" t="s">
        <v>176</v>
      </c>
      <c r="K93" s="311" t="s">
        <v>42</v>
      </c>
      <c r="L93" s="225" t="s">
        <v>177</v>
      </c>
      <c r="M93" s="310" t="s">
        <v>40</v>
      </c>
      <c r="N93" s="310" t="s">
        <v>175</v>
      </c>
      <c r="O93" s="311" t="s">
        <v>117</v>
      </c>
      <c r="P93" s="311" t="s">
        <v>118</v>
      </c>
      <c r="Q93" s="311" t="s">
        <v>176</v>
      </c>
      <c r="R93" s="311" t="s">
        <v>42</v>
      </c>
      <c r="S93" s="225" t="s">
        <v>177</v>
      </c>
    </row>
    <row r="94" spans="1:19" ht="12.75">
      <c r="A94" s="280">
        <v>1</v>
      </c>
      <c r="B94" s="280">
        <f>A94+1</f>
        <v>2</v>
      </c>
      <c r="C94" s="280">
        <f>B94+1</f>
        <v>3</v>
      </c>
      <c r="D94" s="280">
        <f>C94+1</f>
        <v>4</v>
      </c>
      <c r="E94" s="280"/>
      <c r="F94" s="280">
        <f>D94+1</f>
        <v>5</v>
      </c>
      <c r="G94" s="280">
        <f aca="true" t="shared" si="7" ref="G94:S94">F94+1</f>
        <v>6</v>
      </c>
      <c r="H94" s="280">
        <f t="shared" si="7"/>
        <v>7</v>
      </c>
      <c r="I94" s="280">
        <f t="shared" si="7"/>
        <v>8</v>
      </c>
      <c r="J94" s="280">
        <f t="shared" si="7"/>
        <v>9</v>
      </c>
      <c r="K94" s="280">
        <f t="shared" si="7"/>
        <v>10</v>
      </c>
      <c r="L94" s="280">
        <f t="shared" si="7"/>
        <v>11</v>
      </c>
      <c r="M94" s="280">
        <f t="shared" si="7"/>
        <v>12</v>
      </c>
      <c r="N94" s="280">
        <f t="shared" si="7"/>
        <v>13</v>
      </c>
      <c r="O94" s="280">
        <f t="shared" si="7"/>
        <v>14</v>
      </c>
      <c r="P94" s="280">
        <f t="shared" si="7"/>
        <v>15</v>
      </c>
      <c r="Q94" s="280">
        <f t="shared" si="7"/>
        <v>16</v>
      </c>
      <c r="R94" s="280">
        <f t="shared" si="7"/>
        <v>17</v>
      </c>
      <c r="S94" s="280">
        <f t="shared" si="7"/>
        <v>18</v>
      </c>
    </row>
    <row r="95" spans="1:19" ht="12.75">
      <c r="A95" s="233"/>
      <c r="B95" s="234"/>
      <c r="C95" s="234"/>
      <c r="D95" s="234"/>
      <c r="E95" s="234"/>
      <c r="F95" s="235"/>
      <c r="G95" s="238"/>
      <c r="H95" s="313"/>
      <c r="I95" s="353"/>
      <c r="J95" s="249"/>
      <c r="K95" s="316">
        <f>ROUND(F95*H95/1000,5)</f>
        <v>0</v>
      </c>
      <c r="L95" s="316">
        <f>ROUND(G95*H95/1000,5)</f>
        <v>0</v>
      </c>
      <c r="M95" s="235"/>
      <c r="N95" s="235"/>
      <c r="O95" s="313"/>
      <c r="P95" s="353">
        <f aca="true" t="shared" si="8" ref="P95:Q97">I95</f>
        <v>0</v>
      </c>
      <c r="Q95" s="249">
        <f t="shared" si="8"/>
        <v>0</v>
      </c>
      <c r="R95" s="316">
        <f>ROUND(M95*O95/1000,5)</f>
        <v>0</v>
      </c>
      <c r="S95" s="316">
        <f>ROUND(N95*O95/1000,5)</f>
        <v>0</v>
      </c>
    </row>
    <row r="96" spans="1:19" ht="12.75">
      <c r="A96" s="233"/>
      <c r="B96" s="233"/>
      <c r="C96" s="318"/>
      <c r="D96" s="318"/>
      <c r="E96" s="318"/>
      <c r="F96" s="235"/>
      <c r="G96" s="238"/>
      <c r="H96" s="313"/>
      <c r="I96" s="317"/>
      <c r="J96" s="315"/>
      <c r="K96" s="316">
        <f>ROUND(F96*H96/1000,5)</f>
        <v>0</v>
      </c>
      <c r="L96" s="316">
        <f>ROUND(G96*H96/1000,5)</f>
        <v>0</v>
      </c>
      <c r="M96" s="235"/>
      <c r="N96" s="235"/>
      <c r="O96" s="313"/>
      <c r="P96" s="353">
        <f t="shared" si="8"/>
        <v>0</v>
      </c>
      <c r="Q96" s="249">
        <f t="shared" si="8"/>
        <v>0</v>
      </c>
      <c r="R96" s="316">
        <f>ROUND(M96*O96/1000,5)</f>
        <v>0</v>
      </c>
      <c r="S96" s="316">
        <f>ROUND(N96*O96/1000,5)</f>
        <v>0</v>
      </c>
    </row>
    <row r="97" spans="1:19" ht="12.75">
      <c r="A97" s="233"/>
      <c r="B97" s="233"/>
      <c r="C97" s="318"/>
      <c r="D97" s="318"/>
      <c r="E97" s="318"/>
      <c r="F97" s="235"/>
      <c r="G97" s="238"/>
      <c r="H97" s="313"/>
      <c r="I97" s="315"/>
      <c r="J97" s="320"/>
      <c r="K97" s="316">
        <f>ROUND(F97*H97/1000,5)</f>
        <v>0</v>
      </c>
      <c r="L97" s="316">
        <f>ROUND(G97*H97/1000,5)</f>
        <v>0</v>
      </c>
      <c r="M97" s="235"/>
      <c r="N97" s="235"/>
      <c r="O97" s="313"/>
      <c r="P97" s="353">
        <f t="shared" si="8"/>
        <v>0</v>
      </c>
      <c r="Q97" s="249">
        <f t="shared" si="8"/>
        <v>0</v>
      </c>
      <c r="R97" s="316">
        <f>ROUND(M97*O97/1000,5)</f>
        <v>0</v>
      </c>
      <c r="S97" s="316">
        <f>ROUND(N97*O97/1000,5)</f>
        <v>0</v>
      </c>
    </row>
    <row r="98" spans="1:19" ht="12.75">
      <c r="A98" s="321"/>
      <c r="B98" s="322"/>
      <c r="C98" s="323"/>
      <c r="D98" s="323"/>
      <c r="E98" s="323"/>
      <c r="F98" s="235"/>
      <c r="G98" s="238"/>
      <c r="H98" s="313"/>
      <c r="I98" s="315"/>
      <c r="J98" s="320"/>
      <c r="K98" s="316"/>
      <c r="L98" s="316"/>
      <c r="M98" s="235"/>
      <c r="N98" s="238"/>
      <c r="O98" s="313"/>
      <c r="P98" s="315"/>
      <c r="Q98" s="320"/>
      <c r="R98" s="316"/>
      <c r="S98" s="316"/>
    </row>
    <row r="99" spans="1:19" ht="27" customHeight="1">
      <c r="A99" s="891" t="s">
        <v>121</v>
      </c>
      <c r="B99" s="891"/>
      <c r="C99" s="891"/>
      <c r="D99" s="250"/>
      <c r="E99" s="250"/>
      <c r="F99" s="354" t="e">
        <f>ROUND(K99/J99/H99*1000,6)</f>
        <v>#DIV/0!</v>
      </c>
      <c r="G99" s="345" t="e">
        <f>ROUND(L99/J99/H99*1000,6)</f>
        <v>#DIV/0!</v>
      </c>
      <c r="H99" s="346"/>
      <c r="I99" s="347">
        <f>SUM(I95:I97)</f>
        <v>0</v>
      </c>
      <c r="J99" s="355">
        <f>SUM(J95:J97)</f>
        <v>0</v>
      </c>
      <c r="K99" s="252">
        <f>SUM(K95:K97)</f>
        <v>0</v>
      </c>
      <c r="L99" s="252">
        <f>SUM(L95:L97)</f>
        <v>0</v>
      </c>
      <c r="M99" s="344" t="e">
        <f>ROUND(R99/Q99/O99*1000,6)</f>
        <v>#DIV/0!</v>
      </c>
      <c r="N99" s="345" t="e">
        <f>ROUND(S99/Q99/O99*1000,6)</f>
        <v>#DIV/0!</v>
      </c>
      <c r="O99" s="346"/>
      <c r="P99" s="347">
        <f>SUM(P95:P97)</f>
        <v>0</v>
      </c>
      <c r="Q99" s="355">
        <f>SUM(Q95:Q97)</f>
        <v>0</v>
      </c>
      <c r="R99" s="252">
        <f>SUM(R95:R97)</f>
        <v>0</v>
      </c>
      <c r="S99" s="252">
        <f>SUM(S95:S97)</f>
        <v>0</v>
      </c>
    </row>
    <row r="100" spans="1:19" s="363" customFormat="1" ht="12.75" customHeight="1">
      <c r="A100" s="255"/>
      <c r="B100" s="908"/>
      <c r="C100" s="908"/>
      <c r="D100" s="255"/>
      <c r="E100" s="255"/>
      <c r="F100" s="257"/>
      <c r="G100" s="257"/>
      <c r="H100" s="257"/>
      <c r="I100" s="362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</row>
    <row r="101" spans="1:15" s="208" customFormat="1" ht="15.75" customHeight="1">
      <c r="A101" s="274"/>
      <c r="B101" s="902" t="s">
        <v>157</v>
      </c>
      <c r="C101" s="902"/>
      <c r="D101" s="274"/>
      <c r="E101" s="274"/>
      <c r="F101" s="221"/>
      <c r="G101" s="222"/>
      <c r="H101" s="222"/>
      <c r="I101" s="222"/>
      <c r="J101" s="222"/>
      <c r="K101" s="222"/>
      <c r="L101" s="222"/>
      <c r="M101" s="274"/>
      <c r="N101" s="274"/>
      <c r="O101" s="274"/>
    </row>
    <row r="102" spans="2:15" s="208" customFormat="1" ht="12.75">
      <c r="B102" s="263" t="s">
        <v>132</v>
      </c>
      <c r="C102" s="264"/>
      <c r="G102" s="265"/>
      <c r="J102" s="265"/>
      <c r="K102" s="265"/>
      <c r="L102" s="265"/>
      <c r="M102" s="265"/>
      <c r="N102" s="265"/>
      <c r="O102" s="265"/>
    </row>
    <row r="103" spans="2:15" s="208" customFormat="1" ht="12.75">
      <c r="B103" s="263"/>
      <c r="C103" s="264"/>
      <c r="G103" s="265"/>
      <c r="J103" s="265"/>
      <c r="K103" s="265"/>
      <c r="L103" s="265"/>
      <c r="M103" s="265"/>
      <c r="N103" s="265"/>
      <c r="O103" s="265"/>
    </row>
    <row r="104" spans="2:13" ht="12.75">
      <c r="B104" s="304" t="s">
        <v>168</v>
      </c>
      <c r="G104" s="221"/>
      <c r="H104" s="222"/>
      <c r="I104" s="222"/>
      <c r="J104" s="222"/>
      <c r="K104" s="222"/>
      <c r="L104" s="222"/>
      <c r="M104" s="222"/>
    </row>
    <row r="106" spans="1:19" s="224" customFormat="1" ht="20.25" customHeight="1">
      <c r="A106" s="889" t="s">
        <v>105</v>
      </c>
      <c r="B106" s="889" t="s">
        <v>106</v>
      </c>
      <c r="C106" s="889" t="s">
        <v>107</v>
      </c>
      <c r="D106" s="889" t="s">
        <v>108</v>
      </c>
      <c r="E106" s="889"/>
      <c r="F106" s="890" t="s">
        <v>185</v>
      </c>
      <c r="G106" s="890"/>
      <c r="H106" s="890"/>
      <c r="I106" s="890"/>
      <c r="J106" s="890"/>
      <c r="K106" s="890"/>
      <c r="L106" s="890"/>
      <c r="M106" s="899" t="s">
        <v>431</v>
      </c>
      <c r="N106" s="899"/>
      <c r="O106" s="899"/>
      <c r="P106" s="899"/>
      <c r="Q106" s="899"/>
      <c r="R106" s="899"/>
      <c r="S106" s="899"/>
    </row>
    <row r="107" spans="1:19" ht="126.75" customHeight="1">
      <c r="A107" s="889"/>
      <c r="B107" s="889"/>
      <c r="C107" s="889"/>
      <c r="D107" s="889"/>
      <c r="E107" s="889"/>
      <c r="F107" s="305" t="s">
        <v>169</v>
      </c>
      <c r="G107" s="305" t="s">
        <v>170</v>
      </c>
      <c r="H107" s="306" t="s">
        <v>124</v>
      </c>
      <c r="I107" s="306" t="s">
        <v>171</v>
      </c>
      <c r="J107" s="307" t="s">
        <v>172</v>
      </c>
      <c r="K107" s="907" t="s">
        <v>173</v>
      </c>
      <c r="L107" s="907"/>
      <c r="M107" s="308" t="s">
        <v>169</v>
      </c>
      <c r="N107" s="305" t="s">
        <v>170</v>
      </c>
      <c r="O107" s="306" t="s">
        <v>111</v>
      </c>
      <c r="P107" s="306" t="s">
        <v>171</v>
      </c>
      <c r="Q107" s="307" t="s">
        <v>172</v>
      </c>
      <c r="R107" s="907" t="s">
        <v>173</v>
      </c>
      <c r="S107" s="907"/>
    </row>
    <row r="108" spans="1:19" s="312" customFormat="1" ht="12.75" customHeight="1">
      <c r="A108" s="889"/>
      <c r="B108" s="889"/>
      <c r="C108" s="889"/>
      <c r="D108" s="889"/>
      <c r="E108" s="889"/>
      <c r="F108" s="309" t="s">
        <v>174</v>
      </c>
      <c r="G108" s="310" t="s">
        <v>175</v>
      </c>
      <c r="H108" s="311" t="s">
        <v>117</v>
      </c>
      <c r="I108" s="311" t="s">
        <v>118</v>
      </c>
      <c r="J108" s="311" t="s">
        <v>176</v>
      </c>
      <c r="K108" s="311" t="s">
        <v>42</v>
      </c>
      <c r="L108" s="225" t="s">
        <v>177</v>
      </c>
      <c r="M108" s="310" t="s">
        <v>174</v>
      </c>
      <c r="N108" s="310" t="s">
        <v>175</v>
      </c>
      <c r="O108" s="311" t="s">
        <v>117</v>
      </c>
      <c r="P108" s="311" t="s">
        <v>118</v>
      </c>
      <c r="Q108" s="311" t="s">
        <v>176</v>
      </c>
      <c r="R108" s="311" t="s">
        <v>42</v>
      </c>
      <c r="S108" s="225" t="s">
        <v>177</v>
      </c>
    </row>
    <row r="109" spans="1:19" ht="12.75">
      <c r="A109" s="280">
        <v>1</v>
      </c>
      <c r="B109" s="280">
        <f>A109+1</f>
        <v>2</v>
      </c>
      <c r="C109" s="280">
        <f>B109+1</f>
        <v>3</v>
      </c>
      <c r="D109" s="280">
        <f>C109+1</f>
        <v>4</v>
      </c>
      <c r="E109" s="280" t="s">
        <v>178</v>
      </c>
      <c r="F109" s="280">
        <f>D109+1</f>
        <v>5</v>
      </c>
      <c r="G109" s="280">
        <f aca="true" t="shared" si="9" ref="G109:S109">F109+1</f>
        <v>6</v>
      </c>
      <c r="H109" s="280">
        <f t="shared" si="9"/>
        <v>7</v>
      </c>
      <c r="I109" s="280">
        <f t="shared" si="9"/>
        <v>8</v>
      </c>
      <c r="J109" s="280">
        <f t="shared" si="9"/>
        <v>9</v>
      </c>
      <c r="K109" s="280">
        <f t="shared" si="9"/>
        <v>10</v>
      </c>
      <c r="L109" s="280">
        <f t="shared" si="9"/>
        <v>11</v>
      </c>
      <c r="M109" s="280">
        <f t="shared" si="9"/>
        <v>12</v>
      </c>
      <c r="N109" s="280">
        <f t="shared" si="9"/>
        <v>13</v>
      </c>
      <c r="O109" s="280">
        <f t="shared" si="9"/>
        <v>14</v>
      </c>
      <c r="P109" s="280">
        <f t="shared" si="9"/>
        <v>15</v>
      </c>
      <c r="Q109" s="280">
        <f t="shared" si="9"/>
        <v>16</v>
      </c>
      <c r="R109" s="280">
        <f t="shared" si="9"/>
        <v>17</v>
      </c>
      <c r="S109" s="280">
        <f t="shared" si="9"/>
        <v>18</v>
      </c>
    </row>
    <row r="110" spans="1:19" ht="12.75" customHeight="1">
      <c r="A110" s="233">
        <v>1</v>
      </c>
      <c r="B110" s="233" t="s">
        <v>119</v>
      </c>
      <c r="C110" s="234" t="s">
        <v>120</v>
      </c>
      <c r="D110" s="233">
        <v>11</v>
      </c>
      <c r="E110" s="889" t="s">
        <v>179</v>
      </c>
      <c r="F110" s="819">
        <v>0.2232</v>
      </c>
      <c r="G110" s="238">
        <v>3.24</v>
      </c>
      <c r="H110" s="313">
        <v>4</v>
      </c>
      <c r="I110" s="833">
        <v>0.66304</v>
      </c>
      <c r="J110" s="315">
        <v>31</v>
      </c>
      <c r="K110" s="316">
        <f>ROUND(F110*H110*J110/1000,5)</f>
        <v>0.02768</v>
      </c>
      <c r="L110" s="316">
        <f>ROUND(G110*H110*J110/1000,5)</f>
        <v>0.40176</v>
      </c>
      <c r="M110" s="819">
        <v>0.2232</v>
      </c>
      <c r="N110" s="238">
        <v>3.24</v>
      </c>
      <c r="O110" s="313">
        <v>4</v>
      </c>
      <c r="P110" s="833">
        <v>0.66304</v>
      </c>
      <c r="Q110" s="315">
        <f>J110</f>
        <v>31</v>
      </c>
      <c r="R110" s="316">
        <f>ROUND(M110*O110*Q110/1000,5)</f>
        <v>0.02768</v>
      </c>
      <c r="S110" s="316">
        <f>ROUND(N110*O110*Q110/1000,5)</f>
        <v>0.40176</v>
      </c>
    </row>
    <row r="111" spans="1:19" ht="12.75">
      <c r="A111" s="233">
        <v>2</v>
      </c>
      <c r="B111" s="233"/>
      <c r="C111" s="796"/>
      <c r="D111" s="319"/>
      <c r="E111" s="889"/>
      <c r="F111" s="819">
        <v>0.0854</v>
      </c>
      <c r="G111" s="238">
        <v>1.24</v>
      </c>
      <c r="H111" s="313">
        <v>4</v>
      </c>
      <c r="I111" s="833">
        <v>0.06435</v>
      </c>
      <c r="J111" s="315">
        <v>1</v>
      </c>
      <c r="K111" s="316">
        <f>ROUND(F111*H111*J111/1000,5)</f>
        <v>0.00034</v>
      </c>
      <c r="L111" s="316">
        <f>ROUND(G111*H111*J111/1000,5)</f>
        <v>0.00496</v>
      </c>
      <c r="M111" s="819">
        <v>0.0854</v>
      </c>
      <c r="N111" s="238">
        <f>G111</f>
        <v>1.24</v>
      </c>
      <c r="O111" s="313">
        <v>4</v>
      </c>
      <c r="P111" s="833">
        <v>0.06435</v>
      </c>
      <c r="Q111" s="315">
        <f>J111</f>
        <v>1</v>
      </c>
      <c r="R111" s="316">
        <f>ROUND(M111*O111*Q111/1000,5)</f>
        <v>0.00034</v>
      </c>
      <c r="S111" s="316">
        <f>ROUND(N111*O111*Q111/1000,5)</f>
        <v>0.00496</v>
      </c>
    </row>
    <row r="112" spans="1:19" ht="12.75">
      <c r="A112" s="233">
        <v>3</v>
      </c>
      <c r="B112" s="233"/>
      <c r="C112" s="796"/>
      <c r="D112" s="319"/>
      <c r="E112" s="889"/>
      <c r="F112" s="819"/>
      <c r="G112" s="238"/>
      <c r="H112" s="313"/>
      <c r="I112" s="315"/>
      <c r="J112" s="315"/>
      <c r="K112" s="316">
        <f>ROUND(F112*H112*J112/1000,5)</f>
        <v>0</v>
      </c>
      <c r="L112" s="316">
        <f>ROUND(G112*H112*J112/1000,5)</f>
        <v>0</v>
      </c>
      <c r="M112" s="235"/>
      <c r="N112" s="238"/>
      <c r="O112" s="313"/>
      <c r="P112" s="315"/>
      <c r="Q112" s="315"/>
      <c r="R112" s="316">
        <f>ROUND(M112*O112*Q112/1000,5)</f>
        <v>0</v>
      </c>
      <c r="S112" s="316">
        <f>ROUND(N112*O112*Q112/1000,5)</f>
        <v>0</v>
      </c>
    </row>
    <row r="113" spans="1:19" ht="12.75">
      <c r="A113" s="321"/>
      <c r="B113" s="322"/>
      <c r="C113" s="323"/>
      <c r="D113" s="323"/>
      <c r="E113" s="323"/>
      <c r="F113" s="235"/>
      <c r="G113" s="238"/>
      <c r="H113" s="313"/>
      <c r="I113" s="315"/>
      <c r="J113" s="320"/>
      <c r="K113" s="316"/>
      <c r="L113" s="316"/>
      <c r="M113" s="235"/>
      <c r="N113" s="238"/>
      <c r="O113" s="313"/>
      <c r="P113" s="315"/>
      <c r="Q113" s="320"/>
      <c r="R113" s="316"/>
      <c r="S113" s="316"/>
    </row>
    <row r="114" spans="1:19" ht="12.75">
      <c r="A114" s="321"/>
      <c r="B114" s="322"/>
      <c r="C114" s="323"/>
      <c r="D114" s="324"/>
      <c r="E114" s="325" t="s">
        <v>180</v>
      </c>
      <c r="F114" s="806">
        <f>G114*0.0689</f>
        <v>14.151371</v>
      </c>
      <c r="G114" s="327">
        <f>G82</f>
        <v>205.39</v>
      </c>
      <c r="H114" s="328">
        <v>4</v>
      </c>
      <c r="I114" s="832">
        <v>3.86277</v>
      </c>
      <c r="J114" s="329">
        <f>J82</f>
        <v>175</v>
      </c>
      <c r="K114" s="330">
        <f>ROUND(F114*H114*J114/1000,5)</f>
        <v>9.90596</v>
      </c>
      <c r="L114" s="330">
        <f>ROUND(G114*H114*J114/1000,5)</f>
        <v>143.773</v>
      </c>
      <c r="M114" s="806">
        <f>N114*0.0689</f>
        <v>14.151371</v>
      </c>
      <c r="N114" s="326">
        <f>G114</f>
        <v>205.39</v>
      </c>
      <c r="O114" s="328">
        <v>4</v>
      </c>
      <c r="P114" s="832">
        <v>3.86277</v>
      </c>
      <c r="Q114" s="329">
        <f>J114</f>
        <v>175</v>
      </c>
      <c r="R114" s="330">
        <f>ROUND(M114*O114*Q114/1000,5)</f>
        <v>9.90596</v>
      </c>
      <c r="S114" s="330">
        <f>ROUND(N114*O114*Q114/1000,5)</f>
        <v>143.773</v>
      </c>
    </row>
    <row r="115" spans="1:19" ht="12.75">
      <c r="A115" s="321"/>
      <c r="B115" s="322"/>
      <c r="C115" s="323"/>
      <c r="D115" s="323"/>
      <c r="E115" s="331" t="s">
        <v>181</v>
      </c>
      <c r="F115" s="326"/>
      <c r="G115" s="327"/>
      <c r="H115" s="328"/>
      <c r="I115" s="332"/>
      <c r="J115" s="332"/>
      <c r="K115" s="333">
        <f>ROUND(F115*H115*I115/1000,5)</f>
        <v>0</v>
      </c>
      <c r="L115" s="333">
        <f>ROUND(G115*H115*I115/1000,5)</f>
        <v>0</v>
      </c>
      <c r="M115" s="326">
        <f>F115</f>
        <v>0</v>
      </c>
      <c r="N115" s="326">
        <f>G115</f>
        <v>0</v>
      </c>
      <c r="O115" s="328"/>
      <c r="P115" s="332"/>
      <c r="Q115" s="332"/>
      <c r="R115" s="333">
        <f>ROUND(M115*O115*P115/1000,5)</f>
        <v>0</v>
      </c>
      <c r="S115" s="333">
        <f>ROUND(N115*O115*P115/1000,5)</f>
        <v>0</v>
      </c>
    </row>
    <row r="116" spans="1:19" s="343" customFormat="1" ht="12.75">
      <c r="A116" s="334"/>
      <c r="B116" s="335"/>
      <c r="C116" s="336"/>
      <c r="D116" s="336"/>
      <c r="E116" s="336"/>
      <c r="F116" s="337"/>
      <c r="G116" s="338"/>
      <c r="H116" s="339"/>
      <c r="I116" s="340"/>
      <c r="J116" s="341"/>
      <c r="K116" s="342"/>
      <c r="L116" s="342"/>
      <c r="M116" s="337"/>
      <c r="N116" s="338"/>
      <c r="O116" s="339"/>
      <c r="P116" s="340"/>
      <c r="Q116" s="341"/>
      <c r="R116" s="342"/>
      <c r="S116" s="342"/>
    </row>
    <row r="117" spans="1:19" ht="12" customHeight="1">
      <c r="A117" s="321"/>
      <c r="B117" s="322"/>
      <c r="C117" s="323"/>
      <c r="D117" s="323"/>
      <c r="E117" s="323"/>
      <c r="F117" s="235"/>
      <c r="G117" s="238"/>
      <c r="H117" s="313"/>
      <c r="I117" s="315"/>
      <c r="J117" s="320"/>
      <c r="K117" s="316"/>
      <c r="L117" s="316"/>
      <c r="M117" s="235"/>
      <c r="N117" s="238"/>
      <c r="O117" s="313"/>
      <c r="P117" s="315"/>
      <c r="Q117" s="320"/>
      <c r="R117" s="316"/>
      <c r="S117" s="316"/>
    </row>
    <row r="118" spans="1:19" s="348" customFormat="1" ht="18.75" customHeight="1">
      <c r="A118" s="891" t="s">
        <v>121</v>
      </c>
      <c r="B118" s="891"/>
      <c r="C118" s="891"/>
      <c r="D118" s="805">
        <f>SUM(D110:D117)</f>
        <v>11</v>
      </c>
      <c r="E118" s="250"/>
      <c r="F118" s="344">
        <f>ROUND(K118/J118/H118*1000,9)</f>
        <v>11.997560386</v>
      </c>
      <c r="G118" s="345">
        <f>ROUND(L118/J118/H118*1000,9)</f>
        <v>174.130096618</v>
      </c>
      <c r="H118" s="346">
        <v>4</v>
      </c>
      <c r="I118" s="347">
        <f>SUM(I110:I117)-I115</f>
        <v>4.59016</v>
      </c>
      <c r="J118" s="347">
        <f>SUM(J110:J117)-J115</f>
        <v>207</v>
      </c>
      <c r="K118" s="252">
        <f>SUM(K110:K117)</f>
        <v>9.93398</v>
      </c>
      <c r="L118" s="252">
        <f>SUM(L110:L117)</f>
        <v>144.17972</v>
      </c>
      <c r="M118" s="344">
        <f>ROUND(R118/Q118/O118*1000,9)</f>
        <v>11.997560386</v>
      </c>
      <c r="N118" s="345">
        <f>ROUND(S118/Q118/O118*1000,9)</f>
        <v>174.130096618</v>
      </c>
      <c r="O118" s="346">
        <v>4</v>
      </c>
      <c r="P118" s="347">
        <f>SUM(P110:P117)-P115</f>
        <v>4.59016</v>
      </c>
      <c r="Q118" s="347">
        <f>SUM(Q110:Q117)-Q115</f>
        <v>207</v>
      </c>
      <c r="R118" s="252">
        <f>SUM(R110:R117)</f>
        <v>9.93398</v>
      </c>
      <c r="S118" s="252">
        <f>SUM(S110:S117)</f>
        <v>144.17972</v>
      </c>
    </row>
    <row r="119" spans="1:19" s="348" customFormat="1" ht="17.25" customHeight="1">
      <c r="A119" s="254"/>
      <c r="B119" s="254"/>
      <c r="C119" s="254"/>
      <c r="D119" s="255"/>
      <c r="E119" s="255"/>
      <c r="F119" s="364"/>
      <c r="G119" s="365"/>
      <c r="H119" s="216"/>
      <c r="I119" s="362"/>
      <c r="J119" s="362"/>
      <c r="K119" s="260"/>
      <c r="L119" s="260"/>
      <c r="M119" s="364"/>
      <c r="N119" s="365"/>
      <c r="O119" s="216"/>
      <c r="P119" s="362"/>
      <c r="Q119" s="362"/>
      <c r="R119" s="260"/>
      <c r="S119" s="260"/>
    </row>
    <row r="120" ht="21" customHeight="1">
      <c r="B120" s="247" t="s">
        <v>182</v>
      </c>
    </row>
    <row r="121" spans="1:19" ht="21" customHeight="1">
      <c r="A121" s="889" t="s">
        <v>105</v>
      </c>
      <c r="B121" s="889" t="s">
        <v>106</v>
      </c>
      <c r="C121" s="889" t="s">
        <v>107</v>
      </c>
      <c r="D121" s="889" t="s">
        <v>108</v>
      </c>
      <c r="E121" s="349"/>
      <c r="F121" s="890" t="s">
        <v>185</v>
      </c>
      <c r="G121" s="890"/>
      <c r="H121" s="890"/>
      <c r="I121" s="890"/>
      <c r="J121" s="890"/>
      <c r="K121" s="890"/>
      <c r="L121" s="890"/>
      <c r="M121" s="899" t="s">
        <v>431</v>
      </c>
      <c r="N121" s="899"/>
      <c r="O121" s="899"/>
      <c r="P121" s="899"/>
      <c r="Q121" s="899"/>
      <c r="R121" s="899"/>
      <c r="S121" s="899"/>
    </row>
    <row r="122" spans="1:19" ht="33" customHeight="1">
      <c r="A122" s="889"/>
      <c r="B122" s="889"/>
      <c r="C122" s="889"/>
      <c r="D122" s="889"/>
      <c r="E122" s="350"/>
      <c r="F122" s="906" t="s">
        <v>123</v>
      </c>
      <c r="G122" s="906"/>
      <c r="H122" s="306" t="s">
        <v>124</v>
      </c>
      <c r="I122" s="306" t="s">
        <v>183</v>
      </c>
      <c r="J122" s="307" t="s">
        <v>172</v>
      </c>
      <c r="K122" s="907" t="s">
        <v>173</v>
      </c>
      <c r="L122" s="907"/>
      <c r="M122" s="906" t="s">
        <v>125</v>
      </c>
      <c r="N122" s="906"/>
      <c r="O122" s="306" t="s">
        <v>111</v>
      </c>
      <c r="P122" s="306" t="s">
        <v>183</v>
      </c>
      <c r="Q122" s="307" t="s">
        <v>172</v>
      </c>
      <c r="R122" s="907" t="s">
        <v>173</v>
      </c>
      <c r="S122" s="907"/>
    </row>
    <row r="123" spans="1:19" ht="33" customHeight="1">
      <c r="A123" s="889"/>
      <c r="B123" s="889"/>
      <c r="C123" s="889"/>
      <c r="D123" s="889"/>
      <c r="E123" s="352"/>
      <c r="F123" s="309" t="s">
        <v>40</v>
      </c>
      <c r="G123" s="310" t="s">
        <v>184</v>
      </c>
      <c r="H123" s="311" t="s">
        <v>117</v>
      </c>
      <c r="I123" s="311" t="s">
        <v>118</v>
      </c>
      <c r="J123" s="311" t="s">
        <v>176</v>
      </c>
      <c r="K123" s="311" t="s">
        <v>42</v>
      </c>
      <c r="L123" s="225" t="s">
        <v>177</v>
      </c>
      <c r="M123" s="310" t="s">
        <v>40</v>
      </c>
      <c r="N123" s="310" t="s">
        <v>175</v>
      </c>
      <c r="O123" s="311" t="s">
        <v>117</v>
      </c>
      <c r="P123" s="311" t="s">
        <v>118</v>
      </c>
      <c r="Q123" s="311" t="s">
        <v>176</v>
      </c>
      <c r="R123" s="311" t="s">
        <v>42</v>
      </c>
      <c r="S123" s="225" t="s">
        <v>177</v>
      </c>
    </row>
    <row r="124" spans="1:19" ht="13.5" customHeight="1">
      <c r="A124" s="280">
        <v>1</v>
      </c>
      <c r="B124" s="280">
        <f>A124+1</f>
        <v>2</v>
      </c>
      <c r="C124" s="280">
        <f>B124+1</f>
        <v>3</v>
      </c>
      <c r="D124" s="280">
        <f>C124+1</f>
        <v>4</v>
      </c>
      <c r="E124" s="280"/>
      <c r="F124" s="280">
        <f>D124+1</f>
        <v>5</v>
      </c>
      <c r="G124" s="280">
        <f aca="true" t="shared" si="10" ref="G124:S124">F124+1</f>
        <v>6</v>
      </c>
      <c r="H124" s="280">
        <f t="shared" si="10"/>
        <v>7</v>
      </c>
      <c r="I124" s="280">
        <f t="shared" si="10"/>
        <v>8</v>
      </c>
      <c r="J124" s="280">
        <f t="shared" si="10"/>
        <v>9</v>
      </c>
      <c r="K124" s="280">
        <f t="shared" si="10"/>
        <v>10</v>
      </c>
      <c r="L124" s="280">
        <f t="shared" si="10"/>
        <v>11</v>
      </c>
      <c r="M124" s="280">
        <f t="shared" si="10"/>
        <v>12</v>
      </c>
      <c r="N124" s="280">
        <f t="shared" si="10"/>
        <v>13</v>
      </c>
      <c r="O124" s="280">
        <f t="shared" si="10"/>
        <v>14</v>
      </c>
      <c r="P124" s="280">
        <f t="shared" si="10"/>
        <v>15</v>
      </c>
      <c r="Q124" s="280">
        <f t="shared" si="10"/>
        <v>16</v>
      </c>
      <c r="R124" s="280">
        <f t="shared" si="10"/>
        <v>17</v>
      </c>
      <c r="S124" s="280">
        <f t="shared" si="10"/>
        <v>18</v>
      </c>
    </row>
    <row r="125" spans="1:19" ht="17.25" customHeight="1">
      <c r="A125" s="233"/>
      <c r="B125" s="234"/>
      <c r="C125" s="234"/>
      <c r="D125" s="234"/>
      <c r="E125" s="234"/>
      <c r="F125" s="235"/>
      <c r="G125" s="238"/>
      <c r="H125" s="313"/>
      <c r="I125" s="353"/>
      <c r="J125" s="249"/>
      <c r="K125" s="316">
        <f>ROUND(F125*H125/1000,5)</f>
        <v>0</v>
      </c>
      <c r="L125" s="316">
        <f>ROUND(G125*H125/1000,5)</f>
        <v>0</v>
      </c>
      <c r="M125" s="235"/>
      <c r="N125" s="235"/>
      <c r="O125" s="313"/>
      <c r="P125" s="353">
        <f aca="true" t="shared" si="11" ref="P125:Q127">I125</f>
        <v>0</v>
      </c>
      <c r="Q125" s="249">
        <f t="shared" si="11"/>
        <v>0</v>
      </c>
      <c r="R125" s="316">
        <f>ROUND(M125*O125/1000,5)</f>
        <v>0</v>
      </c>
      <c r="S125" s="316">
        <f>ROUND(N125*O125/1000,5)</f>
        <v>0</v>
      </c>
    </row>
    <row r="126" spans="1:19" ht="17.25" customHeight="1">
      <c r="A126" s="233"/>
      <c r="B126" s="233"/>
      <c r="C126" s="318"/>
      <c r="D126" s="318"/>
      <c r="E126" s="318"/>
      <c r="F126" s="235"/>
      <c r="G126" s="238"/>
      <c r="H126" s="313"/>
      <c r="I126" s="317"/>
      <c r="J126" s="315"/>
      <c r="K126" s="316">
        <f>ROUND(F126*H126/1000,5)</f>
        <v>0</v>
      </c>
      <c r="L126" s="316">
        <f>ROUND(G126*H126/1000,5)</f>
        <v>0</v>
      </c>
      <c r="M126" s="235"/>
      <c r="N126" s="235"/>
      <c r="O126" s="313"/>
      <c r="P126" s="353">
        <f t="shared" si="11"/>
        <v>0</v>
      </c>
      <c r="Q126" s="249">
        <f t="shared" si="11"/>
        <v>0</v>
      </c>
      <c r="R126" s="316">
        <f>ROUND(M126*O126/1000,5)</f>
        <v>0</v>
      </c>
      <c r="S126" s="316">
        <f>ROUND(N126*O126/1000,5)</f>
        <v>0</v>
      </c>
    </row>
    <row r="127" spans="1:19" ht="17.25" customHeight="1">
      <c r="A127" s="233"/>
      <c r="B127" s="233"/>
      <c r="C127" s="318"/>
      <c r="D127" s="318"/>
      <c r="E127" s="318"/>
      <c r="F127" s="235"/>
      <c r="G127" s="238"/>
      <c r="H127" s="313"/>
      <c r="I127" s="315"/>
      <c r="J127" s="320"/>
      <c r="K127" s="316">
        <f>ROUND(F127*H127/1000,5)</f>
        <v>0</v>
      </c>
      <c r="L127" s="316">
        <f>ROUND(G127*H127/1000,5)</f>
        <v>0</v>
      </c>
      <c r="M127" s="235"/>
      <c r="N127" s="235"/>
      <c r="O127" s="313"/>
      <c r="P127" s="353">
        <f t="shared" si="11"/>
        <v>0</v>
      </c>
      <c r="Q127" s="249">
        <f t="shared" si="11"/>
        <v>0</v>
      </c>
      <c r="R127" s="316">
        <f>ROUND(M127*O127/1000,5)</f>
        <v>0</v>
      </c>
      <c r="S127" s="316">
        <f>ROUND(N127*O127/1000,5)</f>
        <v>0</v>
      </c>
    </row>
    <row r="128" spans="1:19" ht="17.25" customHeight="1">
      <c r="A128" s="321"/>
      <c r="B128" s="322"/>
      <c r="C128" s="323"/>
      <c r="D128" s="323"/>
      <c r="E128" s="323"/>
      <c r="F128" s="235"/>
      <c r="G128" s="238"/>
      <c r="H128" s="313"/>
      <c r="I128" s="315"/>
      <c r="J128" s="320"/>
      <c r="K128" s="316"/>
      <c r="L128" s="316"/>
      <c r="M128" s="235"/>
      <c r="N128" s="238"/>
      <c r="O128" s="313"/>
      <c r="P128" s="315"/>
      <c r="Q128" s="320"/>
      <c r="R128" s="316"/>
      <c r="S128" s="316"/>
    </row>
    <row r="129" spans="1:19" ht="17.25" customHeight="1">
      <c r="A129" s="891" t="s">
        <v>121</v>
      </c>
      <c r="B129" s="891"/>
      <c r="C129" s="891"/>
      <c r="D129" s="250"/>
      <c r="E129" s="250"/>
      <c r="F129" s="354" t="e">
        <f>ROUND(K129/J129/H129*1000,6)</f>
        <v>#DIV/0!</v>
      </c>
      <c r="G129" s="345" t="e">
        <f>ROUND(L129/J129/H129*1000,6)</f>
        <v>#DIV/0!</v>
      </c>
      <c r="H129" s="346"/>
      <c r="I129" s="347">
        <f>SUM(I125:I127)</f>
        <v>0</v>
      </c>
      <c r="J129" s="355">
        <f>SUM(J125:J127)</f>
        <v>0</v>
      </c>
      <c r="K129" s="252">
        <f>SUM(K125:K127)</f>
        <v>0</v>
      </c>
      <c r="L129" s="252">
        <f>SUM(L125:L127)</f>
        <v>0</v>
      </c>
      <c r="M129" s="344" t="e">
        <f>ROUND(R129/Q129/O129*1000,6)</f>
        <v>#DIV/0!</v>
      </c>
      <c r="N129" s="345" t="e">
        <f>ROUND(S129/Q129/O129*1000,6)</f>
        <v>#DIV/0!</v>
      </c>
      <c r="O129" s="346"/>
      <c r="P129" s="347">
        <f>SUM(P125:P127)</f>
        <v>0</v>
      </c>
      <c r="Q129" s="355">
        <f>SUM(Q125:Q127)</f>
        <v>0</v>
      </c>
      <c r="R129" s="252">
        <f>SUM(R125:R127)</f>
        <v>0</v>
      </c>
      <c r="S129" s="252">
        <f>SUM(S125:S127)</f>
        <v>0</v>
      </c>
    </row>
    <row r="130" s="366" customFormat="1" ht="33" customHeight="1">
      <c r="B130" s="367"/>
    </row>
    <row r="131" s="366" customFormat="1" ht="33" customHeight="1">
      <c r="B131" s="367"/>
    </row>
    <row r="132" spans="2:6" ht="18.75">
      <c r="B132" s="802" t="s">
        <v>422</v>
      </c>
      <c r="C132" s="803"/>
      <c r="D132" s="803" t="s">
        <v>423</v>
      </c>
      <c r="E132" s="809"/>
      <c r="F132" s="804"/>
    </row>
    <row r="133" spans="2:6" ht="18.75">
      <c r="B133" s="802"/>
      <c r="C133" s="802"/>
      <c r="D133" s="802"/>
      <c r="E133" s="802"/>
      <c r="F133" s="804" t="s">
        <v>97</v>
      </c>
    </row>
    <row r="134" spans="2:6" ht="18.75">
      <c r="B134" s="802" t="s">
        <v>98</v>
      </c>
      <c r="C134" s="803" t="s">
        <v>424</v>
      </c>
      <c r="D134" s="803"/>
      <c r="E134" s="803"/>
      <c r="F134" s="804"/>
    </row>
    <row r="135" spans="2:6" ht="18.75">
      <c r="B135" s="802" t="s">
        <v>421</v>
      </c>
      <c r="C135" s="808" t="s">
        <v>425</v>
      </c>
      <c r="D135" s="807"/>
      <c r="E135" s="807"/>
      <c r="F135" s="804"/>
    </row>
  </sheetData>
  <sheetProtection selectLockedCells="1" selectUnlockedCells="1"/>
  <mergeCells count="95">
    <mergeCell ref="A3:S3"/>
    <mergeCell ref="H6:J6"/>
    <mergeCell ref="B8:C8"/>
    <mergeCell ref="A12:A14"/>
    <mergeCell ref="B12:B14"/>
    <mergeCell ref="C12:C14"/>
    <mergeCell ref="D12:D14"/>
    <mergeCell ref="E12:E14"/>
    <mergeCell ref="F12:L12"/>
    <mergeCell ref="M12:S12"/>
    <mergeCell ref="K44:L44"/>
    <mergeCell ref="R44:S44"/>
    <mergeCell ref="K13:L13"/>
    <mergeCell ref="R13:S13"/>
    <mergeCell ref="E16:E18"/>
    <mergeCell ref="A24:C24"/>
    <mergeCell ref="F30:G30"/>
    <mergeCell ref="K30:L30"/>
    <mergeCell ref="M30:N30"/>
    <mergeCell ref="A29:A31"/>
    <mergeCell ref="B29:B31"/>
    <mergeCell ref="C29:C31"/>
    <mergeCell ref="D29:D31"/>
    <mergeCell ref="F29:L29"/>
    <mergeCell ref="M29:S29"/>
    <mergeCell ref="R30:S30"/>
    <mergeCell ref="A37:C37"/>
    <mergeCell ref="B39:C39"/>
    <mergeCell ref="A43:A45"/>
    <mergeCell ref="B43:B45"/>
    <mergeCell ref="C43:C45"/>
    <mergeCell ref="A55:C55"/>
    <mergeCell ref="D60:D62"/>
    <mergeCell ref="D43:D45"/>
    <mergeCell ref="M60:S60"/>
    <mergeCell ref="F61:G61"/>
    <mergeCell ref="K61:L61"/>
    <mergeCell ref="M61:N61"/>
    <mergeCell ref="R61:S61"/>
    <mergeCell ref="E43:E45"/>
    <mergeCell ref="F43:L43"/>
    <mergeCell ref="M43:S43"/>
    <mergeCell ref="A68:C68"/>
    <mergeCell ref="B69:C69"/>
    <mergeCell ref="A74:A76"/>
    <mergeCell ref="B74:B76"/>
    <mergeCell ref="C74:C76"/>
    <mergeCell ref="A60:A62"/>
    <mergeCell ref="B60:B62"/>
    <mergeCell ref="C60:C62"/>
    <mergeCell ref="F74:L74"/>
    <mergeCell ref="E78:E80"/>
    <mergeCell ref="M74:S74"/>
    <mergeCell ref="K75:L75"/>
    <mergeCell ref="R75:S75"/>
    <mergeCell ref="E47:E49"/>
    <mergeCell ref="F60:L60"/>
    <mergeCell ref="A86:C86"/>
    <mergeCell ref="A91:A93"/>
    <mergeCell ref="B91:B93"/>
    <mergeCell ref="C91:C93"/>
    <mergeCell ref="D74:D76"/>
    <mergeCell ref="E74:E76"/>
    <mergeCell ref="D91:D93"/>
    <mergeCell ref="F91:L91"/>
    <mergeCell ref="M91:S91"/>
    <mergeCell ref="F92:G92"/>
    <mergeCell ref="K92:L92"/>
    <mergeCell ref="M92:N92"/>
    <mergeCell ref="R92:S92"/>
    <mergeCell ref="A99:C99"/>
    <mergeCell ref="B100:C100"/>
    <mergeCell ref="B101:C101"/>
    <mergeCell ref="A106:A108"/>
    <mergeCell ref="B106:B108"/>
    <mergeCell ref="C106:C108"/>
    <mergeCell ref="D106:D108"/>
    <mergeCell ref="E106:E108"/>
    <mergeCell ref="F106:L106"/>
    <mergeCell ref="M106:S106"/>
    <mergeCell ref="K107:L107"/>
    <mergeCell ref="R107:S107"/>
    <mergeCell ref="E110:E112"/>
    <mergeCell ref="A118:C118"/>
    <mergeCell ref="A121:A123"/>
    <mergeCell ref="B121:B123"/>
    <mergeCell ref="C121:C123"/>
    <mergeCell ref="D121:D123"/>
    <mergeCell ref="A129:C129"/>
    <mergeCell ref="F121:L121"/>
    <mergeCell ref="M121:S121"/>
    <mergeCell ref="F122:G122"/>
    <mergeCell ref="K122:L122"/>
    <mergeCell ref="M122:N122"/>
    <mergeCell ref="R122:S122"/>
  </mergeCells>
  <printOptions/>
  <pageMargins left="0.75" right="0.75" top="1" bottom="1" header="0.5118055555555555" footer="0.5118055555555555"/>
  <pageSetup horizontalDpi="300" verticalDpi="300" orientation="landscape" paperSize="9" scale="46" r:id="rId1"/>
  <rowBreaks count="2" manualBreakCount="2">
    <brk id="55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Z130"/>
  <sheetViews>
    <sheetView zoomScale="90" zoomScaleNormal="90" zoomScaleSheetLayoutView="86" zoomScalePageLayoutView="0" workbookViewId="0" topLeftCell="A61">
      <selection activeCell="E77" sqref="E77:E79"/>
    </sheetView>
  </sheetViews>
  <sheetFormatPr defaultColWidth="9.00390625" defaultRowHeight="12.75"/>
  <cols>
    <col min="1" max="1" width="4.25390625" style="208" customWidth="1"/>
    <col min="2" max="2" width="21.25390625" style="208" customWidth="1"/>
    <col min="3" max="3" width="19.875" style="208" customWidth="1"/>
    <col min="4" max="4" width="11.00390625" style="208" customWidth="1"/>
    <col min="5" max="5" width="9.00390625" style="208" customWidth="1"/>
    <col min="6" max="6" width="11.625" style="208" customWidth="1"/>
    <col min="7" max="7" width="11.875" style="208" customWidth="1"/>
    <col min="8" max="8" width="8.875" style="208" customWidth="1"/>
    <col min="9" max="9" width="10.75390625" style="208" customWidth="1"/>
    <col min="10" max="10" width="5.375" style="208" customWidth="1"/>
    <col min="11" max="11" width="12.875" style="208" customWidth="1"/>
    <col min="12" max="12" width="12.75390625" style="208" customWidth="1"/>
    <col min="13" max="13" width="10.25390625" style="208" customWidth="1"/>
    <col min="14" max="14" width="9.75390625" style="208" customWidth="1"/>
    <col min="15" max="15" width="10.125" style="208" customWidth="1"/>
    <col min="16" max="16" width="9.75390625" style="208" customWidth="1"/>
    <col min="17" max="17" width="9.25390625" style="208" customWidth="1"/>
    <col min="18" max="18" width="9.875" style="208" customWidth="1"/>
    <col min="19" max="16384" width="9.125" style="208" customWidth="1"/>
  </cols>
  <sheetData>
    <row r="1" spans="1:18" ht="12.75">
      <c r="A1" s="214" t="s">
        <v>134</v>
      </c>
      <c r="R1" s="368" t="s">
        <v>186</v>
      </c>
    </row>
    <row r="2" ht="12.75">
      <c r="A2" s="214"/>
    </row>
    <row r="3" spans="1:20" s="245" customFormat="1" ht="15.75" customHeight="1">
      <c r="A3" s="905" t="s">
        <v>187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369"/>
      <c r="T3" s="369"/>
    </row>
    <row r="4" spans="1:26" s="273" customFormat="1" ht="17.25" customHeight="1">
      <c r="A4" s="267"/>
      <c r="B4" s="267"/>
      <c r="C4" s="268"/>
      <c r="D4" s="269"/>
      <c r="E4" s="269"/>
      <c r="F4" s="269"/>
      <c r="G4" s="270"/>
      <c r="H4" s="219" t="s">
        <v>102</v>
      </c>
      <c r="I4" s="270"/>
      <c r="J4" s="219"/>
      <c r="K4" s="219"/>
      <c r="L4" s="303"/>
      <c r="M4" s="303"/>
      <c r="N4" s="269"/>
      <c r="O4" s="271"/>
      <c r="P4" s="271"/>
      <c r="Q4" s="271"/>
      <c r="R4" s="271"/>
      <c r="S4" s="272"/>
      <c r="T4" s="267"/>
      <c r="U4" s="267"/>
      <c r="V4" s="267"/>
      <c r="W4" s="267"/>
      <c r="X4" s="267"/>
      <c r="Y4" s="267"/>
      <c r="Z4" s="267"/>
    </row>
    <row r="5" spans="1:20" ht="15.75">
      <c r="A5" s="370"/>
      <c r="B5" s="370"/>
      <c r="C5" s="370"/>
      <c r="D5" s="370"/>
      <c r="E5" s="370"/>
      <c r="F5" s="370"/>
      <c r="G5" s="370"/>
      <c r="H5" s="371"/>
      <c r="I5" s="910"/>
      <c r="J5" s="910"/>
      <c r="K5" s="910"/>
      <c r="L5" s="222"/>
      <c r="M5" s="372"/>
      <c r="N5" s="372"/>
      <c r="O5" s="372"/>
      <c r="P5" s="207"/>
      <c r="Q5" s="370"/>
      <c r="R5" s="370"/>
      <c r="S5" s="370"/>
      <c r="T5" s="370"/>
    </row>
    <row r="6" spans="1:20" ht="15.75">
      <c r="A6" s="370"/>
      <c r="B6" s="370"/>
      <c r="C6" s="370"/>
      <c r="D6" s="370"/>
      <c r="E6" s="370"/>
      <c r="F6" s="370"/>
      <c r="G6" s="370"/>
      <c r="H6" s="221"/>
      <c r="I6" s="222"/>
      <c r="J6" s="222"/>
      <c r="K6" s="222"/>
      <c r="L6" s="222"/>
      <c r="M6" s="222"/>
      <c r="N6" s="222"/>
      <c r="O6" s="370"/>
      <c r="P6" s="370"/>
      <c r="Q6" s="370"/>
      <c r="R6" s="370"/>
      <c r="S6" s="370"/>
      <c r="T6" s="370"/>
    </row>
    <row r="7" spans="1:15" ht="15.75" customHeight="1">
      <c r="A7" s="274"/>
      <c r="B7" s="904" t="s">
        <v>136</v>
      </c>
      <c r="C7" s="904"/>
      <c r="D7" s="274"/>
      <c r="E7" s="274"/>
      <c r="F7" s="221"/>
      <c r="G7" s="222"/>
      <c r="H7" s="222"/>
      <c r="I7" s="222"/>
      <c r="J7" s="222"/>
      <c r="K7" s="222"/>
      <c r="L7" s="222"/>
      <c r="M7" s="274"/>
      <c r="N7" s="274"/>
      <c r="O7" s="274"/>
    </row>
    <row r="8" spans="1:15" ht="15.75">
      <c r="A8" s="274"/>
      <c r="B8" s="275" t="s">
        <v>132</v>
      </c>
      <c r="C8" s="275"/>
      <c r="D8" s="274"/>
      <c r="E8" s="274"/>
      <c r="F8" s="221"/>
      <c r="G8" s="222"/>
      <c r="H8" s="222"/>
      <c r="I8" s="222"/>
      <c r="J8" s="222"/>
      <c r="K8" s="222"/>
      <c r="L8" s="222"/>
      <c r="M8" s="274"/>
      <c r="N8" s="274"/>
      <c r="O8" s="274"/>
    </row>
    <row r="9" spans="1:20" ht="15.75">
      <c r="A9" s="370"/>
      <c r="B9" s="304" t="s">
        <v>168</v>
      </c>
      <c r="C9" s="373"/>
      <c r="D9" s="373"/>
      <c r="E9" s="373"/>
      <c r="F9" s="373"/>
      <c r="G9" s="373"/>
      <c r="H9" s="373"/>
      <c r="I9" s="373"/>
      <c r="J9" s="373"/>
      <c r="K9" s="373"/>
      <c r="L9" s="374"/>
      <c r="M9" s="374"/>
      <c r="N9" s="222"/>
      <c r="O9" s="370"/>
      <c r="P9" s="370"/>
      <c r="Q9" s="370"/>
      <c r="R9" s="370"/>
      <c r="S9" s="370"/>
      <c r="T9" s="370"/>
    </row>
    <row r="11" spans="1:18" ht="12.75" customHeight="1">
      <c r="A11" s="889" t="s">
        <v>105</v>
      </c>
      <c r="B11" s="889" t="s">
        <v>188</v>
      </c>
      <c r="C11" s="889" t="s">
        <v>107</v>
      </c>
      <c r="D11" s="916" t="s">
        <v>137</v>
      </c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  <c r="R11" s="916"/>
    </row>
    <row r="12" spans="1:18" s="276" customFormat="1" ht="66.75" customHeight="1">
      <c r="A12" s="889"/>
      <c r="B12" s="889"/>
      <c r="C12" s="889"/>
      <c r="D12" s="913" t="s">
        <v>138</v>
      </c>
      <c r="E12" s="913"/>
      <c r="F12" s="913"/>
      <c r="G12" s="913" t="s">
        <v>139</v>
      </c>
      <c r="H12" s="913"/>
      <c r="I12" s="913"/>
      <c r="J12" s="914" t="s">
        <v>189</v>
      </c>
      <c r="K12" s="913" t="s">
        <v>190</v>
      </c>
      <c r="L12" s="913"/>
      <c r="M12" s="913" t="s">
        <v>15</v>
      </c>
      <c r="N12" s="913"/>
      <c r="O12" s="913"/>
      <c r="P12" s="913"/>
      <c r="Q12" s="913"/>
      <c r="R12" s="913"/>
    </row>
    <row r="13" spans="1:18" s="276" customFormat="1" ht="63" customHeight="1">
      <c r="A13" s="889"/>
      <c r="B13" s="889"/>
      <c r="C13" s="889"/>
      <c r="D13" s="911" t="s">
        <v>191</v>
      </c>
      <c r="E13" s="911" t="s">
        <v>192</v>
      </c>
      <c r="F13" s="912" t="s">
        <v>193</v>
      </c>
      <c r="G13" s="911" t="s">
        <v>191</v>
      </c>
      <c r="H13" s="911" t="s">
        <v>192</v>
      </c>
      <c r="I13" s="912" t="s">
        <v>194</v>
      </c>
      <c r="J13" s="914"/>
      <c r="K13" s="913"/>
      <c r="L13" s="913"/>
      <c r="M13" s="913" t="s">
        <v>195</v>
      </c>
      <c r="N13" s="913"/>
      <c r="O13" s="913"/>
      <c r="P13" s="913" t="s">
        <v>196</v>
      </c>
      <c r="Q13" s="913"/>
      <c r="R13" s="913"/>
    </row>
    <row r="14" spans="1:18" s="276" customFormat="1" ht="60.75" customHeight="1">
      <c r="A14" s="889"/>
      <c r="B14" s="889"/>
      <c r="C14" s="889"/>
      <c r="D14" s="911"/>
      <c r="E14" s="911"/>
      <c r="F14" s="912"/>
      <c r="G14" s="911"/>
      <c r="H14" s="911"/>
      <c r="I14" s="912"/>
      <c r="J14" s="914"/>
      <c r="K14" s="305" t="s">
        <v>197</v>
      </c>
      <c r="L14" s="305" t="s">
        <v>198</v>
      </c>
      <c r="M14" s="305" t="s">
        <v>199</v>
      </c>
      <c r="N14" s="305" t="s">
        <v>200</v>
      </c>
      <c r="O14" s="375" t="s">
        <v>201</v>
      </c>
      <c r="P14" s="305" t="s">
        <v>202</v>
      </c>
      <c r="Q14" s="305" t="s">
        <v>203</v>
      </c>
      <c r="R14" s="375" t="s">
        <v>204</v>
      </c>
    </row>
    <row r="15" spans="1:18" s="279" customFormat="1" ht="12" customHeight="1">
      <c r="A15" s="280"/>
      <c r="B15" s="280"/>
      <c r="C15" s="280"/>
      <c r="D15" s="376" t="s">
        <v>149</v>
      </c>
      <c r="E15" s="377" t="s">
        <v>205</v>
      </c>
      <c r="F15" s="378" t="s">
        <v>205</v>
      </c>
      <c r="G15" s="377" t="s">
        <v>149</v>
      </c>
      <c r="H15" s="377" t="s">
        <v>205</v>
      </c>
      <c r="I15" s="378" t="s">
        <v>205</v>
      </c>
      <c r="J15" s="377" t="s">
        <v>33</v>
      </c>
      <c r="K15" s="377" t="s">
        <v>42</v>
      </c>
      <c r="L15" s="377" t="s">
        <v>177</v>
      </c>
      <c r="M15" s="377" t="s">
        <v>36</v>
      </c>
      <c r="N15" s="377" t="s">
        <v>36</v>
      </c>
      <c r="O15" s="378" t="s">
        <v>36</v>
      </c>
      <c r="P15" s="377" t="s">
        <v>36</v>
      </c>
      <c r="Q15" s="377" t="s">
        <v>36</v>
      </c>
      <c r="R15" s="378" t="s">
        <v>36</v>
      </c>
    </row>
    <row r="16" spans="1:18" s="382" customFormat="1" ht="12" customHeight="1">
      <c r="A16" s="379">
        <v>1</v>
      </c>
      <c r="B16" s="379">
        <f aca="true" t="shared" si="0" ref="B16:R16">A16+1</f>
        <v>2</v>
      </c>
      <c r="C16" s="379">
        <f t="shared" si="0"/>
        <v>3</v>
      </c>
      <c r="D16" s="379">
        <f t="shared" si="0"/>
        <v>4</v>
      </c>
      <c r="E16" s="380">
        <f t="shared" si="0"/>
        <v>5</v>
      </c>
      <c r="F16" s="381">
        <f t="shared" si="0"/>
        <v>6</v>
      </c>
      <c r="G16" s="380">
        <f t="shared" si="0"/>
        <v>7</v>
      </c>
      <c r="H16" s="380">
        <f t="shared" si="0"/>
        <v>8</v>
      </c>
      <c r="I16" s="381">
        <f t="shared" si="0"/>
        <v>9</v>
      </c>
      <c r="J16" s="380">
        <f t="shared" si="0"/>
        <v>10</v>
      </c>
      <c r="K16" s="380">
        <f t="shared" si="0"/>
        <v>11</v>
      </c>
      <c r="L16" s="380">
        <f t="shared" si="0"/>
        <v>12</v>
      </c>
      <c r="M16" s="380">
        <f t="shared" si="0"/>
        <v>13</v>
      </c>
      <c r="N16" s="380">
        <f t="shared" si="0"/>
        <v>14</v>
      </c>
      <c r="O16" s="381">
        <f t="shared" si="0"/>
        <v>15</v>
      </c>
      <c r="P16" s="380">
        <f t="shared" si="0"/>
        <v>16</v>
      </c>
      <c r="Q16" s="380">
        <f t="shared" si="0"/>
        <v>17</v>
      </c>
      <c r="R16" s="381">
        <f t="shared" si="0"/>
        <v>18</v>
      </c>
    </row>
    <row r="17" spans="1:18" s="389" customFormat="1" ht="12" customHeight="1">
      <c r="A17" s="233">
        <v>1</v>
      </c>
      <c r="B17" s="233" t="str">
        <f>'норм. ГВС  (3-1)'!B16</f>
        <v>п.Рассвет</v>
      </c>
      <c r="C17" s="234" t="str">
        <f>'норм. ГВС  (3-1)'!C16</f>
        <v>ООО «Жилбытсервис»</v>
      </c>
      <c r="D17" s="835">
        <v>2411.05</v>
      </c>
      <c r="E17" s="836">
        <v>50.09</v>
      </c>
      <c r="F17" s="384">
        <f>ROUND(O17/L17,2)</f>
        <v>216.2</v>
      </c>
      <c r="G17" s="284">
        <f aca="true" t="shared" si="1" ref="G17:H19">D17</f>
        <v>2411.05</v>
      </c>
      <c r="H17" s="383">
        <f t="shared" si="1"/>
        <v>50.09</v>
      </c>
      <c r="I17" s="384">
        <f>ROUND(R17/L17,2)</f>
        <v>216.2</v>
      </c>
      <c r="J17" s="385">
        <f>ROUND(I17/F17*100,1)</f>
        <v>100</v>
      </c>
      <c r="K17" s="386">
        <f>'норм. ГВС  (3-1)'!K16</f>
        <v>0.0346</v>
      </c>
      <c r="L17" s="386">
        <f>'норм. ГВС  (3-1)'!L16</f>
        <v>0.5022</v>
      </c>
      <c r="M17" s="387">
        <f aca="true" t="shared" si="2" ref="M17:N20">ROUND(D17*K17,3)</f>
        <v>83.422</v>
      </c>
      <c r="N17" s="387">
        <f t="shared" si="2"/>
        <v>25.155</v>
      </c>
      <c r="O17" s="388">
        <f>M17+N17</f>
        <v>108.577</v>
      </c>
      <c r="P17" s="387">
        <f aca="true" t="shared" si="3" ref="P17:Q20">ROUND(G17*K17,3)</f>
        <v>83.422</v>
      </c>
      <c r="Q17" s="387">
        <f t="shared" si="3"/>
        <v>25.155</v>
      </c>
      <c r="R17" s="388">
        <f>P17+Q17</f>
        <v>108.577</v>
      </c>
    </row>
    <row r="18" spans="1:18" s="289" customFormat="1" ht="12.75">
      <c r="A18" s="233">
        <v>2</v>
      </c>
      <c r="B18" s="233"/>
      <c r="C18" s="234"/>
      <c r="D18" s="835">
        <v>2411.05</v>
      </c>
      <c r="E18" s="836">
        <v>50.09</v>
      </c>
      <c r="F18" s="384">
        <f>ROUND(O18/L18,2)</f>
        <v>217.42</v>
      </c>
      <c r="G18" s="284">
        <f t="shared" si="1"/>
        <v>2411.05</v>
      </c>
      <c r="H18" s="383">
        <f t="shared" si="1"/>
        <v>50.09</v>
      </c>
      <c r="I18" s="384">
        <f>ROUND(R18/L18,2)</f>
        <v>217.42</v>
      </c>
      <c r="J18" s="385">
        <f>ROUND(I18/F18*100,1)</f>
        <v>100</v>
      </c>
      <c r="K18" s="386">
        <f>'норм. ГВС  (3-1)'!K17</f>
        <v>0.00043</v>
      </c>
      <c r="L18" s="386">
        <f>'норм. ГВС  (3-1)'!L17</f>
        <v>0.0062</v>
      </c>
      <c r="M18" s="387">
        <f t="shared" si="2"/>
        <v>1.037</v>
      </c>
      <c r="N18" s="387">
        <f t="shared" si="2"/>
        <v>0.311</v>
      </c>
      <c r="O18" s="388">
        <f>M18+N18</f>
        <v>1.3479999999999999</v>
      </c>
      <c r="P18" s="387">
        <f t="shared" si="3"/>
        <v>1.037</v>
      </c>
      <c r="Q18" s="387">
        <f t="shared" si="3"/>
        <v>0.311</v>
      </c>
      <c r="R18" s="388">
        <f>P18+Q18</f>
        <v>1.3479999999999999</v>
      </c>
    </row>
    <row r="19" spans="1:18" s="289" customFormat="1" ht="12.75">
      <c r="A19" s="233">
        <v>3</v>
      </c>
      <c r="B19" s="233"/>
      <c r="C19" s="234"/>
      <c r="D19" s="835">
        <v>2411.05</v>
      </c>
      <c r="E19" s="836">
        <v>50.09</v>
      </c>
      <c r="F19" s="384">
        <f>ROUND(O19/L19,2)</f>
        <v>216.21</v>
      </c>
      <c r="G19" s="284">
        <f t="shared" si="1"/>
        <v>2411.05</v>
      </c>
      <c r="H19" s="383">
        <f t="shared" si="1"/>
        <v>50.09</v>
      </c>
      <c r="I19" s="384">
        <f>ROUND(R19/L19,2)</f>
        <v>216.21</v>
      </c>
      <c r="J19" s="385">
        <f>ROUND(I19/F19*100,1)</f>
        <v>100</v>
      </c>
      <c r="K19" s="386">
        <f>'норм. ГВС  (3-1)'!K20</f>
        <v>12.38245</v>
      </c>
      <c r="L19" s="386">
        <f>'норм. ГВС  (3-1)'!L20</f>
        <v>179.71625</v>
      </c>
      <c r="M19" s="387">
        <f t="shared" si="2"/>
        <v>29854.706</v>
      </c>
      <c r="N19" s="387">
        <f t="shared" si="2"/>
        <v>9001.987</v>
      </c>
      <c r="O19" s="388">
        <f>M19+N19</f>
        <v>38856.693</v>
      </c>
      <c r="P19" s="387">
        <f t="shared" si="3"/>
        <v>29854.706</v>
      </c>
      <c r="Q19" s="387">
        <f t="shared" si="3"/>
        <v>9001.987</v>
      </c>
      <c r="R19" s="388">
        <f>P19+Q19</f>
        <v>38856.693</v>
      </c>
    </row>
    <row r="20" spans="1:18" s="289" customFormat="1" ht="12.75">
      <c r="A20" s="233">
        <v>4</v>
      </c>
      <c r="B20" s="233"/>
      <c r="C20" s="234"/>
      <c r="D20" s="383"/>
      <c r="E20" s="390"/>
      <c r="F20" s="384" t="e">
        <f>ROUND(O20/L20,2)</f>
        <v>#DIV/0!</v>
      </c>
      <c r="G20" s="383"/>
      <c r="H20" s="390"/>
      <c r="I20" s="384" t="e">
        <f>ROUND(R20/L20,2)</f>
        <v>#DIV/0!</v>
      </c>
      <c r="J20" s="385" t="e">
        <f>ROUND(I20/F20*100,1)</f>
        <v>#DIV/0!</v>
      </c>
      <c r="K20" s="386"/>
      <c r="L20" s="386"/>
      <c r="M20" s="387">
        <f t="shared" si="2"/>
        <v>0</v>
      </c>
      <c r="N20" s="387">
        <f t="shared" si="2"/>
        <v>0</v>
      </c>
      <c r="O20" s="388">
        <f>M20+N20</f>
        <v>0</v>
      </c>
      <c r="P20" s="387">
        <f t="shared" si="3"/>
        <v>0</v>
      </c>
      <c r="Q20" s="387">
        <f t="shared" si="3"/>
        <v>0</v>
      </c>
      <c r="R20" s="388">
        <f>P20+Q20</f>
        <v>0</v>
      </c>
    </row>
    <row r="21" spans="1:18" ht="28.5" customHeight="1">
      <c r="A21" s="891" t="s">
        <v>121</v>
      </c>
      <c r="B21" s="891"/>
      <c r="C21" s="891"/>
      <c r="D21" s="391">
        <f>ROUND(M21/K21,6)</f>
        <v>2411.049988</v>
      </c>
      <c r="E21" s="391">
        <f>ROUND(N21/L21,6)</f>
        <v>50.090002</v>
      </c>
      <c r="F21" s="290">
        <f>ROUND(O21/L21,6)</f>
        <v>216.211367</v>
      </c>
      <c r="G21" s="391">
        <f>ROUND(P21/K21,6)</f>
        <v>2411.049988</v>
      </c>
      <c r="H21" s="391">
        <f>ROUND(Q21/L21,6)</f>
        <v>50.090002</v>
      </c>
      <c r="I21" s="294">
        <f>ROUND(R21/L21,6)</f>
        <v>216.211367</v>
      </c>
      <c r="J21" s="385">
        <f>ROUND(I21/F21*100,1)</f>
        <v>100</v>
      </c>
      <c r="K21" s="788">
        <f aca="true" t="shared" si="4" ref="K21:R21">SUM(K17:K20)</f>
        <v>12.417480000000001</v>
      </c>
      <c r="L21" s="393">
        <f t="shared" si="4"/>
        <v>180.22465</v>
      </c>
      <c r="M21" s="393">
        <f t="shared" si="4"/>
        <v>29939.164999999997</v>
      </c>
      <c r="N21" s="393">
        <f t="shared" si="4"/>
        <v>9027.453</v>
      </c>
      <c r="O21" s="393">
        <f t="shared" si="4"/>
        <v>38966.618</v>
      </c>
      <c r="P21" s="393">
        <f t="shared" si="4"/>
        <v>29939.164999999997</v>
      </c>
      <c r="Q21" s="393">
        <f t="shared" si="4"/>
        <v>9027.453</v>
      </c>
      <c r="R21" s="393">
        <f t="shared" si="4"/>
        <v>38966.618</v>
      </c>
    </row>
    <row r="22" spans="1:11" ht="12.75">
      <c r="A22" s="246"/>
      <c r="B22" s="246"/>
      <c r="K22" s="767"/>
    </row>
    <row r="23" spans="5:9" ht="12.75">
      <c r="E23" s="265"/>
      <c r="F23" s="265"/>
      <c r="G23" s="265"/>
      <c r="H23" s="265"/>
      <c r="I23" s="265"/>
    </row>
    <row r="24" spans="2:9" ht="12.75">
      <c r="B24" s="247" t="s">
        <v>182</v>
      </c>
      <c r="E24" s="265"/>
      <c r="F24" s="265"/>
      <c r="G24" s="265"/>
      <c r="H24" s="265"/>
      <c r="I24" s="265"/>
    </row>
    <row r="26" spans="1:18" ht="12.75" customHeight="1">
      <c r="A26" s="889" t="s">
        <v>105</v>
      </c>
      <c r="B26" s="889" t="s">
        <v>188</v>
      </c>
      <c r="C26" s="915" t="s">
        <v>107</v>
      </c>
      <c r="D26" s="916" t="s">
        <v>137</v>
      </c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</row>
    <row r="27" spans="1:18" ht="57.75" customHeight="1">
      <c r="A27" s="889"/>
      <c r="B27" s="889"/>
      <c r="C27" s="915"/>
      <c r="D27" s="913" t="s">
        <v>138</v>
      </c>
      <c r="E27" s="913"/>
      <c r="F27" s="913"/>
      <c r="G27" s="913" t="s">
        <v>139</v>
      </c>
      <c r="H27" s="913"/>
      <c r="I27" s="913"/>
      <c r="J27" s="914" t="s">
        <v>189</v>
      </c>
      <c r="K27" s="913" t="s">
        <v>206</v>
      </c>
      <c r="L27" s="913"/>
      <c r="M27" s="913" t="s">
        <v>15</v>
      </c>
      <c r="N27" s="913"/>
      <c r="O27" s="913"/>
      <c r="P27" s="913"/>
      <c r="Q27" s="913"/>
      <c r="R27" s="913"/>
    </row>
    <row r="28" spans="1:18" ht="66" customHeight="1">
      <c r="A28" s="889"/>
      <c r="B28" s="889"/>
      <c r="C28" s="915"/>
      <c r="D28" s="911" t="s">
        <v>191</v>
      </c>
      <c r="E28" s="911" t="s">
        <v>192</v>
      </c>
      <c r="F28" s="912" t="s">
        <v>193</v>
      </c>
      <c r="G28" s="911" t="s">
        <v>191</v>
      </c>
      <c r="H28" s="911" t="s">
        <v>192</v>
      </c>
      <c r="I28" s="912" t="s">
        <v>194</v>
      </c>
      <c r="J28" s="914"/>
      <c r="K28" s="913"/>
      <c r="L28" s="913"/>
      <c r="M28" s="913" t="s">
        <v>195</v>
      </c>
      <c r="N28" s="913"/>
      <c r="O28" s="913"/>
      <c r="P28" s="913" t="s">
        <v>207</v>
      </c>
      <c r="Q28" s="913"/>
      <c r="R28" s="913"/>
    </row>
    <row r="29" spans="1:18" ht="99" customHeight="1">
      <c r="A29" s="889"/>
      <c r="B29" s="889"/>
      <c r="C29" s="915"/>
      <c r="D29" s="911"/>
      <c r="E29" s="911"/>
      <c r="F29" s="912"/>
      <c r="G29" s="911"/>
      <c r="H29" s="911"/>
      <c r="I29" s="912"/>
      <c r="J29" s="914"/>
      <c r="K29" s="305" t="s">
        <v>208</v>
      </c>
      <c r="L29" s="305" t="s">
        <v>209</v>
      </c>
      <c r="M29" s="305" t="s">
        <v>199</v>
      </c>
      <c r="N29" s="305" t="s">
        <v>200</v>
      </c>
      <c r="O29" s="375" t="s">
        <v>201</v>
      </c>
      <c r="P29" s="305" t="s">
        <v>202</v>
      </c>
      <c r="Q29" s="305" t="s">
        <v>203</v>
      </c>
      <c r="R29" s="375" t="s">
        <v>204</v>
      </c>
    </row>
    <row r="30" spans="1:18" ht="12.75">
      <c r="A30" s="280"/>
      <c r="B30" s="280"/>
      <c r="C30" s="280"/>
      <c r="D30" s="376" t="s">
        <v>149</v>
      </c>
      <c r="E30" s="377" t="s">
        <v>205</v>
      </c>
      <c r="F30" s="378" t="s">
        <v>205</v>
      </c>
      <c r="G30" s="377" t="s">
        <v>149</v>
      </c>
      <c r="H30" s="377" t="s">
        <v>205</v>
      </c>
      <c r="I30" s="378" t="s">
        <v>205</v>
      </c>
      <c r="J30" s="377" t="s">
        <v>33</v>
      </c>
      <c r="K30" s="377" t="s">
        <v>42</v>
      </c>
      <c r="L30" s="377" t="s">
        <v>177</v>
      </c>
      <c r="M30" s="377" t="s">
        <v>36</v>
      </c>
      <c r="N30" s="377" t="s">
        <v>36</v>
      </c>
      <c r="O30" s="378" t="s">
        <v>36</v>
      </c>
      <c r="P30" s="377" t="s">
        <v>36</v>
      </c>
      <c r="Q30" s="377" t="s">
        <v>36</v>
      </c>
      <c r="R30" s="378" t="s">
        <v>36</v>
      </c>
    </row>
    <row r="31" spans="1:18" ht="12.75">
      <c r="A31" s="379">
        <v>1</v>
      </c>
      <c r="B31" s="379">
        <f aca="true" t="shared" si="5" ref="B31:R31">A31+1</f>
        <v>2</v>
      </c>
      <c r="C31" s="379">
        <f t="shared" si="5"/>
        <v>3</v>
      </c>
      <c r="D31" s="379">
        <f t="shared" si="5"/>
        <v>4</v>
      </c>
      <c r="E31" s="380">
        <f t="shared" si="5"/>
        <v>5</v>
      </c>
      <c r="F31" s="381">
        <f t="shared" si="5"/>
        <v>6</v>
      </c>
      <c r="G31" s="380">
        <f t="shared" si="5"/>
        <v>7</v>
      </c>
      <c r="H31" s="380">
        <f t="shared" si="5"/>
        <v>8</v>
      </c>
      <c r="I31" s="381">
        <f t="shared" si="5"/>
        <v>9</v>
      </c>
      <c r="J31" s="380">
        <f t="shared" si="5"/>
        <v>10</v>
      </c>
      <c r="K31" s="380">
        <f t="shared" si="5"/>
        <v>11</v>
      </c>
      <c r="L31" s="380">
        <f t="shared" si="5"/>
        <v>12</v>
      </c>
      <c r="M31" s="380">
        <f t="shared" si="5"/>
        <v>13</v>
      </c>
      <c r="N31" s="380">
        <f t="shared" si="5"/>
        <v>14</v>
      </c>
      <c r="O31" s="381">
        <f t="shared" si="5"/>
        <v>15</v>
      </c>
      <c r="P31" s="380">
        <f t="shared" si="5"/>
        <v>16</v>
      </c>
      <c r="Q31" s="380">
        <f t="shared" si="5"/>
        <v>17</v>
      </c>
      <c r="R31" s="381">
        <f t="shared" si="5"/>
        <v>18</v>
      </c>
    </row>
    <row r="32" spans="1:18" ht="12.75">
      <c r="A32" s="233"/>
      <c r="B32" s="234">
        <f>'норм. ГВС  (3-1)'!B33</f>
        <v>0</v>
      </c>
      <c r="C32" s="234">
        <f>'норм. ГВС  (3-1)'!C33</f>
        <v>0</v>
      </c>
      <c r="D32" s="383"/>
      <c r="E32" s="383"/>
      <c r="F32" s="384" t="e">
        <f>ROUND(O32/L32,2)</f>
        <v>#DIV/0!</v>
      </c>
      <c r="G32" s="383"/>
      <c r="H32" s="383"/>
      <c r="I32" s="384" t="e">
        <f>ROUND(R32/L32,2)</f>
        <v>#DIV/0!</v>
      </c>
      <c r="J32" s="385" t="e">
        <f>ROUND(I32/F32*100,1)</f>
        <v>#DIV/0!</v>
      </c>
      <c r="K32" s="386">
        <f>'норм. ГВС  (3-1)'!K33</f>
        <v>0</v>
      </c>
      <c r="L32" s="386">
        <f>'норм. ГВС  (3-1)'!L33</f>
        <v>0</v>
      </c>
      <c r="M32" s="387">
        <f aca="true" t="shared" si="6" ref="M32:N34">ROUND(D32*K32,3)</f>
        <v>0</v>
      </c>
      <c r="N32" s="387">
        <f t="shared" si="6"/>
        <v>0</v>
      </c>
      <c r="O32" s="388">
        <f>M32+N32</f>
        <v>0</v>
      </c>
      <c r="P32" s="387">
        <f aca="true" t="shared" si="7" ref="P32:Q34">ROUND(G32*K32,3)</f>
        <v>0</v>
      </c>
      <c r="Q32" s="387">
        <f t="shared" si="7"/>
        <v>0</v>
      </c>
      <c r="R32" s="388">
        <f>P32+Q32</f>
        <v>0</v>
      </c>
    </row>
    <row r="33" spans="1:18" ht="12.75">
      <c r="A33" s="233"/>
      <c r="B33" s="234">
        <f>'норм. ГВС  (3-1)'!B34</f>
        <v>0</v>
      </c>
      <c r="C33" s="234">
        <f>'норм. ГВС  (3-1)'!C34</f>
        <v>0</v>
      </c>
      <c r="D33" s="383"/>
      <c r="E33" s="390"/>
      <c r="F33" s="384" t="e">
        <f>ROUND(O33/L33,2)</f>
        <v>#DIV/0!</v>
      </c>
      <c r="G33" s="383"/>
      <c r="H33" s="390"/>
      <c r="I33" s="384" t="e">
        <f>ROUND(R33/L33,2)</f>
        <v>#DIV/0!</v>
      </c>
      <c r="J33" s="385" t="e">
        <f>ROUND(I33/F33*100,1)</f>
        <v>#DIV/0!</v>
      </c>
      <c r="K33" s="386">
        <f>'норм. ГВС  (3-1)'!K34</f>
        <v>0</v>
      </c>
      <c r="L33" s="386">
        <f>'норм. ГВС  (3-1)'!L34</f>
        <v>0</v>
      </c>
      <c r="M33" s="387">
        <f t="shared" si="6"/>
        <v>0</v>
      </c>
      <c r="N33" s="387">
        <f t="shared" si="6"/>
        <v>0</v>
      </c>
      <c r="O33" s="388">
        <f>M33+N33</f>
        <v>0</v>
      </c>
      <c r="P33" s="387">
        <f t="shared" si="7"/>
        <v>0</v>
      </c>
      <c r="Q33" s="387">
        <f t="shared" si="7"/>
        <v>0</v>
      </c>
      <c r="R33" s="388">
        <f>P33+Q33</f>
        <v>0</v>
      </c>
    </row>
    <row r="34" spans="1:18" ht="12.75">
      <c r="A34" s="233"/>
      <c r="B34" s="234">
        <f>'норм. ГВС  (3-1)'!B35</f>
        <v>0</v>
      </c>
      <c r="C34" s="234">
        <f>'норм. ГВС  (3-1)'!C35</f>
        <v>0</v>
      </c>
      <c r="D34" s="383"/>
      <c r="E34" s="390"/>
      <c r="F34" s="384" t="e">
        <f>ROUND(O34/L34,2)</f>
        <v>#DIV/0!</v>
      </c>
      <c r="G34" s="383"/>
      <c r="H34" s="390"/>
      <c r="I34" s="384" t="e">
        <f>ROUND(R34/L34,2)</f>
        <v>#DIV/0!</v>
      </c>
      <c r="J34" s="385" t="e">
        <f>ROUND(I34/F34*100,1)</f>
        <v>#DIV/0!</v>
      </c>
      <c r="K34" s="386">
        <f>'норм. ГВС  (3-1)'!K35</f>
        <v>0</v>
      </c>
      <c r="L34" s="386">
        <f>'норм. ГВС  (3-1)'!L35</f>
        <v>0</v>
      </c>
      <c r="M34" s="387">
        <f t="shared" si="6"/>
        <v>0</v>
      </c>
      <c r="N34" s="387">
        <f t="shared" si="6"/>
        <v>0</v>
      </c>
      <c r="O34" s="388">
        <f>M34+N34</f>
        <v>0</v>
      </c>
      <c r="P34" s="387">
        <f t="shared" si="7"/>
        <v>0</v>
      </c>
      <c r="Q34" s="387">
        <f t="shared" si="7"/>
        <v>0</v>
      </c>
      <c r="R34" s="388">
        <f>P34+Q34</f>
        <v>0</v>
      </c>
    </row>
    <row r="35" spans="1:18" ht="30.75" customHeight="1">
      <c r="A35" s="891" t="s">
        <v>121</v>
      </c>
      <c r="B35" s="891"/>
      <c r="C35" s="891"/>
      <c r="D35" s="391" t="e">
        <f>ROUND(M35/K35,6)</f>
        <v>#DIV/0!</v>
      </c>
      <c r="E35" s="391" t="e">
        <f>ROUND(N35/L35,6)</f>
        <v>#DIV/0!</v>
      </c>
      <c r="F35" s="290" t="e">
        <f>ROUND(O35/L35,6)</f>
        <v>#DIV/0!</v>
      </c>
      <c r="G35" s="391" t="e">
        <f>ROUND(P35/K35,6)</f>
        <v>#DIV/0!</v>
      </c>
      <c r="H35" s="391" t="e">
        <f>ROUND(Q35/L35,6)</f>
        <v>#DIV/0!</v>
      </c>
      <c r="I35" s="294" t="e">
        <f>ROUND(R35/L35,6)</f>
        <v>#DIV/0!</v>
      </c>
      <c r="J35" s="385" t="e">
        <f>ROUND(I35/F35*100,1)</f>
        <v>#DIV/0!</v>
      </c>
      <c r="K35" s="392">
        <f aca="true" t="shared" si="8" ref="K35:R35">SUM(K32:K34)</f>
        <v>0</v>
      </c>
      <c r="L35" s="392">
        <f t="shared" si="8"/>
        <v>0</v>
      </c>
      <c r="M35" s="393">
        <f t="shared" si="8"/>
        <v>0</v>
      </c>
      <c r="N35" s="393">
        <f t="shared" si="8"/>
        <v>0</v>
      </c>
      <c r="O35" s="393">
        <f t="shared" si="8"/>
        <v>0</v>
      </c>
      <c r="P35" s="393">
        <f t="shared" si="8"/>
        <v>0</v>
      </c>
      <c r="Q35" s="393">
        <f t="shared" si="8"/>
        <v>0</v>
      </c>
      <c r="R35" s="393">
        <f t="shared" si="8"/>
        <v>0</v>
      </c>
    </row>
    <row r="37" spans="1:15" ht="15.75" customHeight="1">
      <c r="A37" s="274"/>
      <c r="B37" s="904" t="s">
        <v>136</v>
      </c>
      <c r="C37" s="904"/>
      <c r="D37" s="274"/>
      <c r="E37" s="274"/>
      <c r="F37" s="221"/>
      <c r="G37" s="222"/>
      <c r="H37" s="222"/>
      <c r="I37" s="222"/>
      <c r="J37" s="222"/>
      <c r="K37" s="222"/>
      <c r="L37" s="222"/>
      <c r="M37" s="274"/>
      <c r="N37" s="274"/>
      <c r="O37" s="274"/>
    </row>
    <row r="38" spans="1:15" ht="15.75">
      <c r="A38" s="274"/>
      <c r="B38" s="275" t="s">
        <v>128</v>
      </c>
      <c r="C38" s="275"/>
      <c r="D38" s="274"/>
      <c r="E38" s="274"/>
      <c r="F38" s="221"/>
      <c r="G38" s="222"/>
      <c r="H38" s="222"/>
      <c r="I38" s="222"/>
      <c r="J38" s="222"/>
      <c r="K38" s="222"/>
      <c r="L38" s="222"/>
      <c r="M38" s="274"/>
      <c r="N38" s="274"/>
      <c r="O38" s="274"/>
    </row>
    <row r="39" spans="1:20" ht="15.75">
      <c r="A39" s="370"/>
      <c r="B39" s="304" t="s">
        <v>168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4"/>
      <c r="M39" s="374"/>
      <c r="N39" s="222"/>
      <c r="O39" s="370"/>
      <c r="P39" s="370"/>
      <c r="Q39" s="370"/>
      <c r="R39" s="370"/>
      <c r="S39" s="370"/>
      <c r="T39" s="370"/>
    </row>
    <row r="41" spans="1:18" ht="12.75" customHeight="1">
      <c r="A41" s="889" t="s">
        <v>105</v>
      </c>
      <c r="B41" s="889" t="s">
        <v>188</v>
      </c>
      <c r="C41" s="889" t="s">
        <v>107</v>
      </c>
      <c r="D41" s="916" t="s">
        <v>129</v>
      </c>
      <c r="E41" s="916"/>
      <c r="F41" s="916"/>
      <c r="G41" s="916"/>
      <c r="H41" s="916"/>
      <c r="I41" s="916"/>
      <c r="J41" s="916"/>
      <c r="K41" s="916"/>
      <c r="L41" s="916"/>
      <c r="M41" s="916"/>
      <c r="N41" s="916"/>
      <c r="O41" s="916"/>
      <c r="P41" s="916"/>
      <c r="Q41" s="916"/>
      <c r="R41" s="916"/>
    </row>
    <row r="42" spans="1:18" s="276" customFormat="1" ht="66.75" customHeight="1">
      <c r="A42" s="889"/>
      <c r="B42" s="889"/>
      <c r="C42" s="889"/>
      <c r="D42" s="913" t="s">
        <v>138</v>
      </c>
      <c r="E42" s="913"/>
      <c r="F42" s="913"/>
      <c r="G42" s="913" t="s">
        <v>139</v>
      </c>
      <c r="H42" s="913"/>
      <c r="I42" s="913"/>
      <c r="J42" s="914" t="s">
        <v>189</v>
      </c>
      <c r="K42" s="913" t="s">
        <v>190</v>
      </c>
      <c r="L42" s="913"/>
      <c r="M42" s="913" t="s">
        <v>15</v>
      </c>
      <c r="N42" s="913"/>
      <c r="O42" s="913"/>
      <c r="P42" s="913"/>
      <c r="Q42" s="913"/>
      <c r="R42" s="913"/>
    </row>
    <row r="43" spans="1:18" s="276" customFormat="1" ht="63" customHeight="1">
      <c r="A43" s="889"/>
      <c r="B43" s="889"/>
      <c r="C43" s="889"/>
      <c r="D43" s="911" t="s">
        <v>191</v>
      </c>
      <c r="E43" s="911" t="s">
        <v>192</v>
      </c>
      <c r="F43" s="912" t="s">
        <v>193</v>
      </c>
      <c r="G43" s="911" t="s">
        <v>191</v>
      </c>
      <c r="H43" s="911" t="s">
        <v>192</v>
      </c>
      <c r="I43" s="912" t="s">
        <v>194</v>
      </c>
      <c r="J43" s="914"/>
      <c r="K43" s="913"/>
      <c r="L43" s="913"/>
      <c r="M43" s="913" t="s">
        <v>195</v>
      </c>
      <c r="N43" s="913"/>
      <c r="O43" s="913"/>
      <c r="P43" s="913" t="s">
        <v>196</v>
      </c>
      <c r="Q43" s="913"/>
      <c r="R43" s="913"/>
    </row>
    <row r="44" spans="1:18" s="276" customFormat="1" ht="60.75" customHeight="1">
      <c r="A44" s="889"/>
      <c r="B44" s="889"/>
      <c r="C44" s="889"/>
      <c r="D44" s="911"/>
      <c r="E44" s="911"/>
      <c r="F44" s="912"/>
      <c r="G44" s="911"/>
      <c r="H44" s="911"/>
      <c r="I44" s="912"/>
      <c r="J44" s="914"/>
      <c r="K44" s="305" t="s">
        <v>197</v>
      </c>
      <c r="L44" s="305" t="s">
        <v>198</v>
      </c>
      <c r="M44" s="305" t="s">
        <v>199</v>
      </c>
      <c r="N44" s="305" t="s">
        <v>200</v>
      </c>
      <c r="O44" s="375" t="s">
        <v>201</v>
      </c>
      <c r="P44" s="305" t="s">
        <v>202</v>
      </c>
      <c r="Q44" s="305" t="s">
        <v>203</v>
      </c>
      <c r="R44" s="375" t="s">
        <v>204</v>
      </c>
    </row>
    <row r="45" spans="1:18" s="279" customFormat="1" ht="12" customHeight="1">
      <c r="A45" s="280"/>
      <c r="B45" s="280"/>
      <c r="C45" s="280"/>
      <c r="D45" s="376" t="s">
        <v>149</v>
      </c>
      <c r="E45" s="377" t="s">
        <v>205</v>
      </c>
      <c r="F45" s="378" t="s">
        <v>205</v>
      </c>
      <c r="G45" s="377" t="s">
        <v>149</v>
      </c>
      <c r="H45" s="377" t="s">
        <v>205</v>
      </c>
      <c r="I45" s="378" t="s">
        <v>205</v>
      </c>
      <c r="J45" s="377" t="s">
        <v>33</v>
      </c>
      <c r="K45" s="377" t="s">
        <v>42</v>
      </c>
      <c r="L45" s="377" t="s">
        <v>177</v>
      </c>
      <c r="M45" s="377" t="s">
        <v>36</v>
      </c>
      <c r="N45" s="377" t="s">
        <v>36</v>
      </c>
      <c r="O45" s="378" t="s">
        <v>36</v>
      </c>
      <c r="P45" s="377" t="s">
        <v>36</v>
      </c>
      <c r="Q45" s="377" t="s">
        <v>36</v>
      </c>
      <c r="R45" s="378" t="s">
        <v>36</v>
      </c>
    </row>
    <row r="46" spans="1:18" s="382" customFormat="1" ht="12" customHeight="1">
      <c r="A46" s="379">
        <v>1</v>
      </c>
      <c r="B46" s="379">
        <f aca="true" t="shared" si="9" ref="B46:R46">A46+1</f>
        <v>2</v>
      </c>
      <c r="C46" s="379">
        <f t="shared" si="9"/>
        <v>3</v>
      </c>
      <c r="D46" s="379">
        <f t="shared" si="9"/>
        <v>4</v>
      </c>
      <c r="E46" s="380">
        <f t="shared" si="9"/>
        <v>5</v>
      </c>
      <c r="F46" s="381">
        <f t="shared" si="9"/>
        <v>6</v>
      </c>
      <c r="G46" s="380">
        <f t="shared" si="9"/>
        <v>7</v>
      </c>
      <c r="H46" s="380">
        <f t="shared" si="9"/>
        <v>8</v>
      </c>
      <c r="I46" s="381">
        <f t="shared" si="9"/>
        <v>9</v>
      </c>
      <c r="J46" s="380">
        <f t="shared" si="9"/>
        <v>10</v>
      </c>
      <c r="K46" s="380">
        <f t="shared" si="9"/>
        <v>11</v>
      </c>
      <c r="L46" s="380">
        <f t="shared" si="9"/>
        <v>12</v>
      </c>
      <c r="M46" s="380">
        <f t="shared" si="9"/>
        <v>13</v>
      </c>
      <c r="N46" s="380">
        <f t="shared" si="9"/>
        <v>14</v>
      </c>
      <c r="O46" s="381">
        <f t="shared" si="9"/>
        <v>15</v>
      </c>
      <c r="P46" s="380">
        <f t="shared" si="9"/>
        <v>16</v>
      </c>
      <c r="Q46" s="380">
        <f t="shared" si="9"/>
        <v>17</v>
      </c>
      <c r="R46" s="381">
        <f t="shared" si="9"/>
        <v>18</v>
      </c>
    </row>
    <row r="47" spans="1:18" s="389" customFormat="1" ht="12" customHeight="1">
      <c r="A47" s="233">
        <v>1</v>
      </c>
      <c r="B47" s="233" t="s">
        <v>119</v>
      </c>
      <c r="C47" s="234" t="s">
        <v>120</v>
      </c>
      <c r="D47" s="835">
        <v>2411.05</v>
      </c>
      <c r="E47" s="836">
        <v>50.09</v>
      </c>
      <c r="F47" s="384">
        <f>ROUND(O47/L47,2)</f>
        <v>216.2</v>
      </c>
      <c r="G47" s="284">
        <f aca="true" t="shared" si="10" ref="G47:H49">D47</f>
        <v>2411.05</v>
      </c>
      <c r="H47" s="383">
        <f t="shared" si="10"/>
        <v>50.09</v>
      </c>
      <c r="I47" s="384">
        <f>ROUND(R47/L47,2)</f>
        <v>216.2</v>
      </c>
      <c r="J47" s="385">
        <f>ROUND(I47/F47*100,1)</f>
        <v>100</v>
      </c>
      <c r="K47" s="386">
        <f>'норм. ГВС  (3-1)'!K47</f>
        <v>0.00692</v>
      </c>
      <c r="L47" s="386">
        <f>'норм. ГВС  (3-1)'!L47</f>
        <v>0.10044</v>
      </c>
      <c r="M47" s="387">
        <f aca="true" t="shared" si="11" ref="M47:N50">ROUND(D47*K47,3)</f>
        <v>16.684</v>
      </c>
      <c r="N47" s="387">
        <f t="shared" si="11"/>
        <v>5.031</v>
      </c>
      <c r="O47" s="388">
        <f>M47+N47</f>
        <v>21.715</v>
      </c>
      <c r="P47" s="387">
        <f aca="true" t="shared" si="12" ref="P47:Q50">ROUND(G47*K47,3)</f>
        <v>16.684</v>
      </c>
      <c r="Q47" s="387">
        <f t="shared" si="12"/>
        <v>5.031</v>
      </c>
      <c r="R47" s="388">
        <f>P47+Q47</f>
        <v>21.715</v>
      </c>
    </row>
    <row r="48" spans="1:18" s="289" customFormat="1" ht="12.75">
      <c r="A48" s="233">
        <v>2</v>
      </c>
      <c r="B48" s="233"/>
      <c r="C48" s="234"/>
      <c r="D48" s="835">
        <v>2411.05</v>
      </c>
      <c r="E48" s="836">
        <v>50.09</v>
      </c>
      <c r="F48" s="384">
        <f>ROUND(O48/L48,2)</f>
        <v>225</v>
      </c>
      <c r="G48" s="284">
        <f t="shared" si="10"/>
        <v>2411.05</v>
      </c>
      <c r="H48" s="383">
        <f t="shared" si="10"/>
        <v>50.09</v>
      </c>
      <c r="I48" s="384">
        <f>ROUND(R48/L48,2)</f>
        <v>225</v>
      </c>
      <c r="J48" s="385">
        <f>ROUND(I48/F48*100,1)</f>
        <v>100</v>
      </c>
      <c r="K48" s="386">
        <f>'норм. ГВС  (3-1)'!K48</f>
        <v>9E-05</v>
      </c>
      <c r="L48" s="386">
        <f>'норм. ГВС  (3-1)'!L48</f>
        <v>0.00124</v>
      </c>
      <c r="M48" s="387">
        <f t="shared" si="11"/>
        <v>0.217</v>
      </c>
      <c r="N48" s="387">
        <f t="shared" si="11"/>
        <v>0.062</v>
      </c>
      <c r="O48" s="388">
        <f>M48+N48</f>
        <v>0.279</v>
      </c>
      <c r="P48" s="387">
        <f t="shared" si="12"/>
        <v>0.217</v>
      </c>
      <c r="Q48" s="387">
        <f t="shared" si="12"/>
        <v>0.062</v>
      </c>
      <c r="R48" s="388">
        <f>P48+Q48</f>
        <v>0.279</v>
      </c>
    </row>
    <row r="49" spans="1:18" s="289" customFormat="1" ht="12.75">
      <c r="A49" s="233">
        <v>3</v>
      </c>
      <c r="B49" s="233"/>
      <c r="C49" s="234"/>
      <c r="D49" s="835">
        <v>2411.05</v>
      </c>
      <c r="E49" s="836">
        <v>50.09</v>
      </c>
      <c r="F49" s="384">
        <f>ROUND(O49/L49,2)</f>
        <v>216.21</v>
      </c>
      <c r="G49" s="383">
        <f t="shared" si="10"/>
        <v>2411.05</v>
      </c>
      <c r="H49" s="383">
        <f t="shared" si="10"/>
        <v>50.09</v>
      </c>
      <c r="I49" s="384">
        <f>ROUND(R49/L49,2)</f>
        <v>216.21</v>
      </c>
      <c r="J49" s="385">
        <f>ROUND(I49/F49*100,1)</f>
        <v>100</v>
      </c>
      <c r="K49" s="386">
        <f>'норм. ГВС  (3-1)'!K51</f>
        <v>2.47649</v>
      </c>
      <c r="L49" s="386">
        <f>'норм. ГВС  (3-1)'!L51</f>
        <v>35.94325</v>
      </c>
      <c r="M49" s="387">
        <f t="shared" si="11"/>
        <v>5970.941</v>
      </c>
      <c r="N49" s="387">
        <f t="shared" si="11"/>
        <v>1800.397</v>
      </c>
      <c r="O49" s="388">
        <f>M49+N49</f>
        <v>7771.338</v>
      </c>
      <c r="P49" s="387">
        <f t="shared" si="12"/>
        <v>5970.941</v>
      </c>
      <c r="Q49" s="387">
        <f t="shared" si="12"/>
        <v>1800.397</v>
      </c>
      <c r="R49" s="388">
        <f>P49+Q49</f>
        <v>7771.338</v>
      </c>
    </row>
    <row r="50" spans="1:18" s="289" customFormat="1" ht="12.75">
      <c r="A50" s="233">
        <v>4</v>
      </c>
      <c r="B50" s="233"/>
      <c r="C50" s="234"/>
      <c r="D50" s="383"/>
      <c r="E50" s="390"/>
      <c r="F50" s="384" t="e">
        <f>ROUND(O50/L50,2)</f>
        <v>#DIV/0!</v>
      </c>
      <c r="G50" s="383"/>
      <c r="H50" s="390"/>
      <c r="I50" s="384" t="e">
        <f>ROUND(R50/L50,2)</f>
        <v>#DIV/0!</v>
      </c>
      <c r="J50" s="385" t="e">
        <f>ROUND(I50/F50*100,1)</f>
        <v>#DIV/0!</v>
      </c>
      <c r="K50" s="386"/>
      <c r="L50" s="386"/>
      <c r="M50" s="387">
        <f t="shared" si="11"/>
        <v>0</v>
      </c>
      <c r="N50" s="387">
        <f t="shared" si="11"/>
        <v>0</v>
      </c>
      <c r="O50" s="388">
        <f>M50+N50</f>
        <v>0</v>
      </c>
      <c r="P50" s="387">
        <f t="shared" si="12"/>
        <v>0</v>
      </c>
      <c r="Q50" s="387">
        <f t="shared" si="12"/>
        <v>0</v>
      </c>
      <c r="R50" s="388">
        <f>P50+Q50</f>
        <v>0</v>
      </c>
    </row>
    <row r="51" spans="1:18" ht="28.5" customHeight="1">
      <c r="A51" s="891" t="s">
        <v>121</v>
      </c>
      <c r="B51" s="891"/>
      <c r="C51" s="891"/>
      <c r="D51" s="391">
        <f>ROUND(M51/K51,6)</f>
        <v>2411.049728</v>
      </c>
      <c r="E51" s="391">
        <f>ROUND(N51/L51,6)</f>
        <v>50.089985</v>
      </c>
      <c r="F51" s="290">
        <f>ROUND(O51/L51,6)</f>
        <v>216.2116</v>
      </c>
      <c r="G51" s="391">
        <f>ROUND(P51/K51,6)</f>
        <v>2411.049728</v>
      </c>
      <c r="H51" s="391">
        <f>ROUND(Q51/L51,6)</f>
        <v>50.089985</v>
      </c>
      <c r="I51" s="294">
        <f>ROUND(R51/L51,6)</f>
        <v>216.2116</v>
      </c>
      <c r="J51" s="385">
        <f>ROUND(I51/F51*100,1)</f>
        <v>100</v>
      </c>
      <c r="K51" s="392">
        <f aca="true" t="shared" si="13" ref="K51:R51">SUM(K47:K50)</f>
        <v>2.4835000000000003</v>
      </c>
      <c r="L51" s="765">
        <f t="shared" si="13"/>
        <v>36.04493</v>
      </c>
      <c r="M51" s="393">
        <f t="shared" si="13"/>
        <v>5987.842</v>
      </c>
      <c r="N51" s="393">
        <f t="shared" si="13"/>
        <v>1805.49</v>
      </c>
      <c r="O51" s="393">
        <f t="shared" si="13"/>
        <v>7793.331999999999</v>
      </c>
      <c r="P51" s="393">
        <f t="shared" si="13"/>
        <v>5987.842</v>
      </c>
      <c r="Q51" s="393">
        <f t="shared" si="13"/>
        <v>1805.49</v>
      </c>
      <c r="R51" s="393">
        <f t="shared" si="13"/>
        <v>7793.331999999999</v>
      </c>
    </row>
    <row r="52" spans="1:12" ht="12.75">
      <c r="A52" s="246"/>
      <c r="B52" s="246"/>
      <c r="L52" s="766"/>
    </row>
    <row r="53" spans="5:9" ht="12.75">
      <c r="E53" s="265"/>
      <c r="F53" s="265"/>
      <c r="G53" s="265"/>
      <c r="H53" s="265"/>
      <c r="I53" s="265"/>
    </row>
    <row r="54" spans="2:9" ht="12.75">
      <c r="B54" s="247" t="s">
        <v>182</v>
      </c>
      <c r="E54" s="265"/>
      <c r="F54" s="265"/>
      <c r="G54" s="265"/>
      <c r="H54" s="265"/>
      <c r="I54" s="265"/>
    </row>
    <row r="56" spans="1:18" ht="12.75" customHeight="1">
      <c r="A56" s="889" t="s">
        <v>105</v>
      </c>
      <c r="B56" s="889" t="s">
        <v>188</v>
      </c>
      <c r="C56" s="915" t="s">
        <v>107</v>
      </c>
      <c r="D56" s="916" t="s">
        <v>129</v>
      </c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</row>
    <row r="57" spans="1:18" ht="57.75" customHeight="1">
      <c r="A57" s="889"/>
      <c r="B57" s="889"/>
      <c r="C57" s="915"/>
      <c r="D57" s="913" t="s">
        <v>138</v>
      </c>
      <c r="E57" s="913"/>
      <c r="F57" s="913"/>
      <c r="G57" s="913" t="s">
        <v>139</v>
      </c>
      <c r="H57" s="913"/>
      <c r="I57" s="913"/>
      <c r="J57" s="914" t="s">
        <v>189</v>
      </c>
      <c r="K57" s="913" t="s">
        <v>206</v>
      </c>
      <c r="L57" s="913"/>
      <c r="M57" s="913" t="s">
        <v>15</v>
      </c>
      <c r="N57" s="913"/>
      <c r="O57" s="913"/>
      <c r="P57" s="913"/>
      <c r="Q57" s="913"/>
      <c r="R57" s="913"/>
    </row>
    <row r="58" spans="1:18" ht="66" customHeight="1">
      <c r="A58" s="889"/>
      <c r="B58" s="889"/>
      <c r="C58" s="915"/>
      <c r="D58" s="911" t="s">
        <v>191</v>
      </c>
      <c r="E58" s="911" t="s">
        <v>192</v>
      </c>
      <c r="F58" s="912" t="s">
        <v>193</v>
      </c>
      <c r="G58" s="911" t="s">
        <v>191</v>
      </c>
      <c r="H58" s="911" t="s">
        <v>192</v>
      </c>
      <c r="I58" s="912" t="s">
        <v>194</v>
      </c>
      <c r="J58" s="914"/>
      <c r="K58" s="913"/>
      <c r="L58" s="913"/>
      <c r="M58" s="913" t="s">
        <v>195</v>
      </c>
      <c r="N58" s="913"/>
      <c r="O58" s="913"/>
      <c r="P58" s="913" t="s">
        <v>207</v>
      </c>
      <c r="Q58" s="913"/>
      <c r="R58" s="913"/>
    </row>
    <row r="59" spans="1:18" ht="99" customHeight="1">
      <c r="A59" s="889"/>
      <c r="B59" s="889"/>
      <c r="C59" s="915"/>
      <c r="D59" s="911"/>
      <c r="E59" s="911"/>
      <c r="F59" s="912"/>
      <c r="G59" s="911"/>
      <c r="H59" s="911"/>
      <c r="I59" s="912"/>
      <c r="J59" s="914"/>
      <c r="K59" s="305" t="s">
        <v>208</v>
      </c>
      <c r="L59" s="305" t="s">
        <v>209</v>
      </c>
      <c r="M59" s="305" t="s">
        <v>199</v>
      </c>
      <c r="N59" s="305" t="s">
        <v>200</v>
      </c>
      <c r="O59" s="375" t="s">
        <v>201</v>
      </c>
      <c r="P59" s="305" t="s">
        <v>202</v>
      </c>
      <c r="Q59" s="305" t="s">
        <v>203</v>
      </c>
      <c r="R59" s="375" t="s">
        <v>204</v>
      </c>
    </row>
    <row r="60" spans="1:18" ht="12.75">
      <c r="A60" s="280"/>
      <c r="B60" s="280"/>
      <c r="C60" s="280"/>
      <c r="D60" s="376" t="s">
        <v>149</v>
      </c>
      <c r="E60" s="377" t="s">
        <v>205</v>
      </c>
      <c r="F60" s="378" t="s">
        <v>205</v>
      </c>
      <c r="G60" s="377"/>
      <c r="H60" s="377" t="s">
        <v>205</v>
      </c>
      <c r="I60" s="378" t="s">
        <v>205</v>
      </c>
      <c r="J60" s="377" t="s">
        <v>33</v>
      </c>
      <c r="K60" s="377" t="s">
        <v>42</v>
      </c>
      <c r="L60" s="377" t="s">
        <v>177</v>
      </c>
      <c r="M60" s="377" t="s">
        <v>36</v>
      </c>
      <c r="N60" s="377" t="s">
        <v>36</v>
      </c>
      <c r="O60" s="378" t="s">
        <v>36</v>
      </c>
      <c r="P60" s="377" t="s">
        <v>36</v>
      </c>
      <c r="Q60" s="377" t="s">
        <v>36</v>
      </c>
      <c r="R60" s="378" t="s">
        <v>36</v>
      </c>
    </row>
    <row r="61" spans="1:18" ht="12.75">
      <c r="A61" s="379">
        <v>1</v>
      </c>
      <c r="B61" s="379">
        <f aca="true" t="shared" si="14" ref="B61:R61">A61+1</f>
        <v>2</v>
      </c>
      <c r="C61" s="379">
        <f t="shared" si="14"/>
        <v>3</v>
      </c>
      <c r="D61" s="379">
        <f t="shared" si="14"/>
        <v>4</v>
      </c>
      <c r="E61" s="380">
        <f t="shared" si="14"/>
        <v>5</v>
      </c>
      <c r="F61" s="381">
        <f t="shared" si="14"/>
        <v>6</v>
      </c>
      <c r="G61" s="380">
        <f t="shared" si="14"/>
        <v>7</v>
      </c>
      <c r="H61" s="380">
        <f t="shared" si="14"/>
        <v>8</v>
      </c>
      <c r="I61" s="381">
        <f t="shared" si="14"/>
        <v>9</v>
      </c>
      <c r="J61" s="380">
        <f t="shared" si="14"/>
        <v>10</v>
      </c>
      <c r="K61" s="380">
        <f t="shared" si="14"/>
        <v>11</v>
      </c>
      <c r="L61" s="380">
        <f t="shared" si="14"/>
        <v>12</v>
      </c>
      <c r="M61" s="380">
        <f t="shared" si="14"/>
        <v>13</v>
      </c>
      <c r="N61" s="380">
        <f t="shared" si="14"/>
        <v>14</v>
      </c>
      <c r="O61" s="381">
        <f t="shared" si="14"/>
        <v>15</v>
      </c>
      <c r="P61" s="380">
        <f t="shared" si="14"/>
        <v>16</v>
      </c>
      <c r="Q61" s="380">
        <f t="shared" si="14"/>
        <v>17</v>
      </c>
      <c r="R61" s="381">
        <f t="shared" si="14"/>
        <v>18</v>
      </c>
    </row>
    <row r="62" spans="1:18" ht="12.75">
      <c r="A62" s="233"/>
      <c r="B62" s="234">
        <f>'норм. ГВС  (3-1)'!B62</f>
        <v>0</v>
      </c>
      <c r="C62" s="234">
        <f>'норм. ГВС  (3-1)'!C62</f>
        <v>0</v>
      </c>
      <c r="D62" s="383"/>
      <c r="E62" s="383"/>
      <c r="F62" s="384" t="e">
        <f>ROUND(O62/L62,2)</f>
        <v>#VALUE!</v>
      </c>
      <c r="G62" s="383"/>
      <c r="H62" s="383"/>
      <c r="I62" s="384" t="e">
        <f>ROUND(R62/L62,2)</f>
        <v>#VALUE!</v>
      </c>
      <c r="J62" s="385" t="e">
        <f>ROUND(I62/F62*100,1)</f>
        <v>#VALUE!</v>
      </c>
      <c r="K62" s="386" t="str">
        <f>'норм. ГВС  (3-1)'!K62</f>
        <v>тыс.Гкал</v>
      </c>
      <c r="L62" s="386" t="str">
        <f>'норм. ГВС  (3-1)'!L62</f>
        <v>тыс.куб.м</v>
      </c>
      <c r="M62" s="387" t="e">
        <f aca="true" t="shared" si="15" ref="M62:N64">ROUND(D62*K62,3)</f>
        <v>#VALUE!</v>
      </c>
      <c r="N62" s="387" t="e">
        <f t="shared" si="15"/>
        <v>#VALUE!</v>
      </c>
      <c r="O62" s="388" t="e">
        <f>M62+N62</f>
        <v>#VALUE!</v>
      </c>
      <c r="P62" s="387" t="e">
        <f aca="true" t="shared" si="16" ref="P62:Q64">ROUND(G62*K62,3)</f>
        <v>#VALUE!</v>
      </c>
      <c r="Q62" s="387" t="e">
        <f t="shared" si="16"/>
        <v>#VALUE!</v>
      </c>
      <c r="R62" s="388" t="e">
        <f>P62+Q62</f>
        <v>#VALUE!</v>
      </c>
    </row>
    <row r="63" spans="1:18" ht="12.75">
      <c r="A63" s="233"/>
      <c r="B63" s="234">
        <v>0</v>
      </c>
      <c r="C63" s="234">
        <v>0</v>
      </c>
      <c r="D63" s="383"/>
      <c r="E63" s="390"/>
      <c r="F63" s="384">
        <f>ROUND(O63/L63,2)</f>
        <v>0</v>
      </c>
      <c r="G63" s="383"/>
      <c r="H63" s="390"/>
      <c r="I63" s="384">
        <f>ROUND(R63/L63,2)</f>
        <v>0</v>
      </c>
      <c r="J63" s="385" t="e">
        <f>ROUND(I63/F63*100,1)</f>
        <v>#DIV/0!</v>
      </c>
      <c r="K63" s="386">
        <f>'норм. ГВС  (3-1)'!K63</f>
        <v>10</v>
      </c>
      <c r="L63" s="386">
        <f>'норм. ГВС  (3-1)'!L63</f>
        <v>11</v>
      </c>
      <c r="M63" s="387">
        <f t="shared" si="15"/>
        <v>0</v>
      </c>
      <c r="N63" s="387">
        <f t="shared" si="15"/>
        <v>0</v>
      </c>
      <c r="O63" s="388">
        <f>M63+N63</f>
        <v>0</v>
      </c>
      <c r="P63" s="387">
        <f t="shared" si="16"/>
        <v>0</v>
      </c>
      <c r="Q63" s="387">
        <f t="shared" si="16"/>
        <v>0</v>
      </c>
      <c r="R63" s="388">
        <f>P63+Q63</f>
        <v>0</v>
      </c>
    </row>
    <row r="64" spans="1:18" ht="12.75">
      <c r="A64" s="233"/>
      <c r="B64" s="234">
        <f>'норм. ГВС  (3-1)'!B64</f>
        <v>0</v>
      </c>
      <c r="C64" s="234">
        <f>'норм. ГВС  (3-1)'!C64</f>
        <v>0</v>
      </c>
      <c r="D64" s="383"/>
      <c r="E64" s="390"/>
      <c r="F64" s="384" t="e">
        <f>ROUND(O64/L64,2)</f>
        <v>#DIV/0!</v>
      </c>
      <c r="G64" s="383"/>
      <c r="H64" s="390"/>
      <c r="I64" s="384" t="e">
        <f>ROUND(R64/L64,2)</f>
        <v>#DIV/0!</v>
      </c>
      <c r="J64" s="385" t="e">
        <f>ROUND(I64/F64*100,1)</f>
        <v>#DIV/0!</v>
      </c>
      <c r="K64" s="386">
        <f>'норм. ГВС  (3-1)'!K64</f>
        <v>0</v>
      </c>
      <c r="L64" s="386">
        <f>'норм. ГВС  (3-1)'!L64</f>
        <v>0</v>
      </c>
      <c r="M64" s="387">
        <f t="shared" si="15"/>
        <v>0</v>
      </c>
      <c r="N64" s="387">
        <f t="shared" si="15"/>
        <v>0</v>
      </c>
      <c r="O64" s="388">
        <f>M64+N64</f>
        <v>0</v>
      </c>
      <c r="P64" s="387">
        <f t="shared" si="16"/>
        <v>0</v>
      </c>
      <c r="Q64" s="387">
        <f t="shared" si="16"/>
        <v>0</v>
      </c>
      <c r="R64" s="388">
        <f>P64+Q64</f>
        <v>0</v>
      </c>
    </row>
    <row r="65" spans="1:18" ht="30.75" customHeight="1">
      <c r="A65" s="891" t="s">
        <v>121</v>
      </c>
      <c r="B65" s="891"/>
      <c r="C65" s="891"/>
      <c r="D65" s="391" t="e">
        <f>ROUND(M65/K65,6)</f>
        <v>#VALUE!</v>
      </c>
      <c r="E65" s="391" t="e">
        <f>ROUND(N65/L65,6)</f>
        <v>#VALUE!</v>
      </c>
      <c r="F65" s="290" t="e">
        <f>ROUND(O65/L65,6)</f>
        <v>#VALUE!</v>
      </c>
      <c r="G65" s="391" t="e">
        <f>ROUND(P65/K65,6)</f>
        <v>#VALUE!</v>
      </c>
      <c r="H65" s="391" t="e">
        <f>ROUND(Q65/L65,6)</f>
        <v>#VALUE!</v>
      </c>
      <c r="I65" s="294" t="e">
        <f>ROUND(R65/L65,6)</f>
        <v>#VALUE!</v>
      </c>
      <c r="J65" s="385" t="e">
        <f>ROUND(I65/F65*100,1)</f>
        <v>#VALUE!</v>
      </c>
      <c r="K65" s="392">
        <f aca="true" t="shared" si="17" ref="K65:R65">SUM(K62:K64)</f>
        <v>10</v>
      </c>
      <c r="L65" s="392">
        <f t="shared" si="17"/>
        <v>11</v>
      </c>
      <c r="M65" s="393" t="e">
        <f t="shared" si="17"/>
        <v>#VALUE!</v>
      </c>
      <c r="N65" s="393" t="e">
        <f t="shared" si="17"/>
        <v>#VALUE!</v>
      </c>
      <c r="O65" s="393" t="e">
        <f t="shared" si="17"/>
        <v>#VALUE!</v>
      </c>
      <c r="P65" s="393" t="e">
        <f t="shared" si="17"/>
        <v>#VALUE!</v>
      </c>
      <c r="Q65" s="393" t="e">
        <f t="shared" si="17"/>
        <v>#VALUE!</v>
      </c>
      <c r="R65" s="393" t="e">
        <f t="shared" si="17"/>
        <v>#VALUE!</v>
      </c>
    </row>
    <row r="68" spans="1:15" ht="15.75" customHeight="1">
      <c r="A68" s="274"/>
      <c r="B68" s="883" t="s">
        <v>157</v>
      </c>
      <c r="C68" s="883"/>
      <c r="D68" s="274"/>
      <c r="E68" s="274"/>
      <c r="F68" s="221"/>
      <c r="G68" s="222"/>
      <c r="H68" s="222"/>
      <c r="I68" s="222"/>
      <c r="J68" s="222"/>
      <c r="K68" s="222"/>
      <c r="L68" s="222"/>
      <c r="M68" s="274"/>
      <c r="N68" s="274"/>
      <c r="O68" s="274"/>
    </row>
    <row r="69" spans="1:15" ht="15.75">
      <c r="A69" s="274"/>
      <c r="B69" s="394" t="s">
        <v>128</v>
      </c>
      <c r="C69" s="394"/>
      <c r="D69" s="274"/>
      <c r="E69" s="274"/>
      <c r="F69" s="221"/>
      <c r="G69" s="222"/>
      <c r="H69" s="222"/>
      <c r="I69" s="222"/>
      <c r="J69" s="222"/>
      <c r="K69" s="222"/>
      <c r="L69" s="222"/>
      <c r="M69" s="274"/>
      <c r="N69" s="274"/>
      <c r="O69" s="274"/>
    </row>
    <row r="70" spans="1:20" ht="15.75">
      <c r="A70" s="370"/>
      <c r="B70" s="304" t="s">
        <v>168</v>
      </c>
      <c r="C70" s="373"/>
      <c r="D70" s="373"/>
      <c r="E70" s="373"/>
      <c r="F70" s="373"/>
      <c r="G70" s="373"/>
      <c r="H70" s="373"/>
      <c r="I70" s="373"/>
      <c r="J70" s="373"/>
      <c r="K70" s="373"/>
      <c r="L70" s="374"/>
      <c r="M70" s="374"/>
      <c r="N70" s="222"/>
      <c r="O70" s="370"/>
      <c r="P70" s="370"/>
      <c r="Q70" s="370"/>
      <c r="R70" s="370"/>
      <c r="S70" s="370"/>
      <c r="T70" s="370"/>
    </row>
    <row r="71" spans="1:18" ht="12.75" customHeight="1">
      <c r="A71" s="889" t="s">
        <v>105</v>
      </c>
      <c r="B71" s="889" t="s">
        <v>188</v>
      </c>
      <c r="C71" s="889" t="s">
        <v>107</v>
      </c>
      <c r="D71" s="916" t="s">
        <v>131</v>
      </c>
      <c r="E71" s="916"/>
      <c r="F71" s="916"/>
      <c r="G71" s="916"/>
      <c r="H71" s="916"/>
      <c r="I71" s="916"/>
      <c r="J71" s="916"/>
      <c r="K71" s="916"/>
      <c r="L71" s="916"/>
      <c r="M71" s="916"/>
      <c r="N71" s="916"/>
      <c r="O71" s="916"/>
      <c r="P71" s="916"/>
      <c r="Q71" s="916"/>
      <c r="R71" s="916"/>
    </row>
    <row r="72" spans="1:18" s="276" customFormat="1" ht="66.75" customHeight="1">
      <c r="A72" s="889"/>
      <c r="B72" s="889"/>
      <c r="C72" s="889"/>
      <c r="D72" s="913" t="s">
        <v>138</v>
      </c>
      <c r="E72" s="913"/>
      <c r="F72" s="913"/>
      <c r="G72" s="913" t="s">
        <v>139</v>
      </c>
      <c r="H72" s="913"/>
      <c r="I72" s="913"/>
      <c r="J72" s="914" t="s">
        <v>189</v>
      </c>
      <c r="K72" s="913" t="s">
        <v>190</v>
      </c>
      <c r="L72" s="913"/>
      <c r="M72" s="913" t="s">
        <v>15</v>
      </c>
      <c r="N72" s="913"/>
      <c r="O72" s="913"/>
      <c r="P72" s="913"/>
      <c r="Q72" s="913"/>
      <c r="R72" s="913"/>
    </row>
    <row r="73" spans="1:18" s="276" customFormat="1" ht="63" customHeight="1">
      <c r="A73" s="889"/>
      <c r="B73" s="889"/>
      <c r="C73" s="889"/>
      <c r="D73" s="911" t="s">
        <v>191</v>
      </c>
      <c r="E73" s="911" t="s">
        <v>192</v>
      </c>
      <c r="F73" s="912" t="s">
        <v>193</v>
      </c>
      <c r="G73" s="911" t="s">
        <v>191</v>
      </c>
      <c r="H73" s="911" t="s">
        <v>192</v>
      </c>
      <c r="I73" s="912" t="s">
        <v>194</v>
      </c>
      <c r="J73" s="914"/>
      <c r="K73" s="913"/>
      <c r="L73" s="913"/>
      <c r="M73" s="913" t="s">
        <v>195</v>
      </c>
      <c r="N73" s="913"/>
      <c r="O73" s="913"/>
      <c r="P73" s="913" t="s">
        <v>196</v>
      </c>
      <c r="Q73" s="913"/>
      <c r="R73" s="913"/>
    </row>
    <row r="74" spans="1:18" s="276" customFormat="1" ht="60.75" customHeight="1">
      <c r="A74" s="889"/>
      <c r="B74" s="889"/>
      <c r="C74" s="889"/>
      <c r="D74" s="911"/>
      <c r="E74" s="911"/>
      <c r="F74" s="912"/>
      <c r="G74" s="911"/>
      <c r="H74" s="911"/>
      <c r="I74" s="912"/>
      <c r="J74" s="914"/>
      <c r="K74" s="305" t="s">
        <v>197</v>
      </c>
      <c r="L74" s="305" t="s">
        <v>198</v>
      </c>
      <c r="M74" s="305" t="s">
        <v>199</v>
      </c>
      <c r="N74" s="305" t="s">
        <v>200</v>
      </c>
      <c r="O74" s="375" t="s">
        <v>201</v>
      </c>
      <c r="P74" s="305" t="s">
        <v>202</v>
      </c>
      <c r="Q74" s="305" t="s">
        <v>203</v>
      </c>
      <c r="R74" s="375" t="s">
        <v>204</v>
      </c>
    </row>
    <row r="75" spans="1:18" s="279" customFormat="1" ht="12" customHeight="1">
      <c r="A75" s="280"/>
      <c r="B75" s="280"/>
      <c r="C75" s="280"/>
      <c r="D75" s="376" t="s">
        <v>149</v>
      </c>
      <c r="E75" s="377" t="s">
        <v>205</v>
      </c>
      <c r="F75" s="378" t="s">
        <v>205</v>
      </c>
      <c r="G75" s="377" t="s">
        <v>149</v>
      </c>
      <c r="H75" s="377" t="s">
        <v>205</v>
      </c>
      <c r="I75" s="378" t="s">
        <v>205</v>
      </c>
      <c r="J75" s="377" t="s">
        <v>33</v>
      </c>
      <c r="K75" s="377" t="s">
        <v>42</v>
      </c>
      <c r="L75" s="377" t="s">
        <v>177</v>
      </c>
      <c r="M75" s="377" t="s">
        <v>36</v>
      </c>
      <c r="N75" s="377" t="s">
        <v>36</v>
      </c>
      <c r="O75" s="378" t="s">
        <v>36</v>
      </c>
      <c r="P75" s="377" t="s">
        <v>36</v>
      </c>
      <c r="Q75" s="377" t="s">
        <v>36</v>
      </c>
      <c r="R75" s="378" t="s">
        <v>36</v>
      </c>
    </row>
    <row r="76" spans="1:18" s="382" customFormat="1" ht="12" customHeight="1">
      <c r="A76" s="379">
        <v>1</v>
      </c>
      <c r="B76" s="379">
        <f aca="true" t="shared" si="18" ref="B76:R76">A76+1</f>
        <v>2</v>
      </c>
      <c r="C76" s="379">
        <f t="shared" si="18"/>
        <v>3</v>
      </c>
      <c r="D76" s="379">
        <f t="shared" si="18"/>
        <v>4</v>
      </c>
      <c r="E76" s="380">
        <f t="shared" si="18"/>
        <v>5</v>
      </c>
      <c r="F76" s="381">
        <f t="shared" si="18"/>
        <v>6</v>
      </c>
      <c r="G76" s="380">
        <f t="shared" si="18"/>
        <v>7</v>
      </c>
      <c r="H76" s="380">
        <f t="shared" si="18"/>
        <v>8</v>
      </c>
      <c r="I76" s="381">
        <f t="shared" si="18"/>
        <v>9</v>
      </c>
      <c r="J76" s="380">
        <f t="shared" si="18"/>
        <v>10</v>
      </c>
      <c r="K76" s="380">
        <f t="shared" si="18"/>
        <v>11</v>
      </c>
      <c r="L76" s="380">
        <f t="shared" si="18"/>
        <v>12</v>
      </c>
      <c r="M76" s="380">
        <f t="shared" si="18"/>
        <v>13</v>
      </c>
      <c r="N76" s="380">
        <f t="shared" si="18"/>
        <v>14</v>
      </c>
      <c r="O76" s="381">
        <f t="shared" si="18"/>
        <v>15</v>
      </c>
      <c r="P76" s="380">
        <f t="shared" si="18"/>
        <v>16</v>
      </c>
      <c r="Q76" s="380">
        <f t="shared" si="18"/>
        <v>17</v>
      </c>
      <c r="R76" s="381">
        <f t="shared" si="18"/>
        <v>18</v>
      </c>
    </row>
    <row r="77" spans="1:18" s="389" customFormat="1" ht="12" customHeight="1">
      <c r="A77" s="233">
        <v>1</v>
      </c>
      <c r="B77" s="233" t="str">
        <f>'норм. ГВС  (3-1)'!B78</f>
        <v>п.Рассвет</v>
      </c>
      <c r="C77" s="234" t="str">
        <f>'норм. ГВС  (3-1)'!C78</f>
        <v>ООО «Жилбытсервис»</v>
      </c>
      <c r="D77" s="835">
        <v>2411.05</v>
      </c>
      <c r="E77" s="836">
        <v>50.09</v>
      </c>
      <c r="F77" s="384">
        <f>ROUND(O77/L77,2)</f>
        <v>216.2</v>
      </c>
      <c r="G77" s="284">
        <f aca="true" t="shared" si="19" ref="G77:H79">D77</f>
        <v>2411.05</v>
      </c>
      <c r="H77" s="383">
        <f t="shared" si="19"/>
        <v>50.09</v>
      </c>
      <c r="I77" s="384">
        <f>ROUND(R77/L77,2)</f>
        <v>216.2</v>
      </c>
      <c r="J77" s="385">
        <f>ROUND(I77/F77*100,1)</f>
        <v>100</v>
      </c>
      <c r="K77" s="386">
        <f>'норм. ГВС  (3-1)'!K78</f>
        <v>0.01384</v>
      </c>
      <c r="L77" s="386">
        <f>'норм. ГВС  (3-1)'!L78</f>
        <v>0.20088</v>
      </c>
      <c r="M77" s="387">
        <f aca="true" t="shared" si="20" ref="M77:N80">ROUND(D77*K77,3)</f>
        <v>33.369</v>
      </c>
      <c r="N77" s="387">
        <f t="shared" si="20"/>
        <v>10.062</v>
      </c>
      <c r="O77" s="388">
        <f>M77+N77</f>
        <v>43.431</v>
      </c>
      <c r="P77" s="387">
        <f aca="true" t="shared" si="21" ref="P77:Q80">ROUND(G77*K77,3)</f>
        <v>33.369</v>
      </c>
      <c r="Q77" s="387">
        <f t="shared" si="21"/>
        <v>10.062</v>
      </c>
      <c r="R77" s="388">
        <f>P77+Q77</f>
        <v>43.431</v>
      </c>
    </row>
    <row r="78" spans="1:18" s="289" customFormat="1" ht="12.75">
      <c r="A78" s="233">
        <v>2</v>
      </c>
      <c r="B78" s="233"/>
      <c r="C78" s="234"/>
      <c r="D78" s="835">
        <v>2411.05</v>
      </c>
      <c r="E78" s="836">
        <v>50.09</v>
      </c>
      <c r="F78" s="384">
        <f>ROUND(O78/L78,2)</f>
        <v>215.32</v>
      </c>
      <c r="G78" s="284">
        <f t="shared" si="19"/>
        <v>2411.05</v>
      </c>
      <c r="H78" s="383">
        <f t="shared" si="19"/>
        <v>50.09</v>
      </c>
      <c r="I78" s="384">
        <f>ROUND(R78/L78,2)</f>
        <v>215.32</v>
      </c>
      <c r="J78" s="385">
        <f>ROUND(I78/F78*100,1)</f>
        <v>100</v>
      </c>
      <c r="K78" s="386">
        <f>'норм. ГВС  (3-1)'!K79</f>
        <v>0.00017</v>
      </c>
      <c r="L78" s="386">
        <f>'норм. ГВС  (3-1)'!L79</f>
        <v>0.00248</v>
      </c>
      <c r="M78" s="387">
        <f t="shared" si="20"/>
        <v>0.41</v>
      </c>
      <c r="N78" s="387">
        <f t="shared" si="20"/>
        <v>0.124</v>
      </c>
      <c r="O78" s="388">
        <f>M78+N78</f>
        <v>0.534</v>
      </c>
      <c r="P78" s="387">
        <f t="shared" si="21"/>
        <v>0.41</v>
      </c>
      <c r="Q78" s="387">
        <f t="shared" si="21"/>
        <v>0.124</v>
      </c>
      <c r="R78" s="388">
        <f>P78+Q78</f>
        <v>0.534</v>
      </c>
    </row>
    <row r="79" spans="1:18" s="289" customFormat="1" ht="12.75">
      <c r="A79" s="233">
        <v>3</v>
      </c>
      <c r="B79" s="233"/>
      <c r="C79" s="234"/>
      <c r="D79" s="835">
        <v>2411.05</v>
      </c>
      <c r="E79" s="836">
        <v>50.09</v>
      </c>
      <c r="F79" s="384">
        <f>ROUND(O79/L79,2)</f>
        <v>216.21</v>
      </c>
      <c r="G79" s="284">
        <f t="shared" si="19"/>
        <v>2411.05</v>
      </c>
      <c r="H79" s="383">
        <f t="shared" si="19"/>
        <v>50.09</v>
      </c>
      <c r="I79" s="384">
        <f>ROUND(R79/L79,2)</f>
        <v>216.21</v>
      </c>
      <c r="J79" s="385">
        <f>ROUND(I79/F79*100,1)</f>
        <v>100</v>
      </c>
      <c r="K79" s="386">
        <f>'норм. ГВС  (3-1)'!K82</f>
        <v>4.95298</v>
      </c>
      <c r="L79" s="386">
        <f>'норм. ГВС  (3-1)'!L82</f>
        <v>71.8865</v>
      </c>
      <c r="M79" s="387">
        <f t="shared" si="20"/>
        <v>11941.882</v>
      </c>
      <c r="N79" s="387">
        <f t="shared" si="20"/>
        <v>3600.795</v>
      </c>
      <c r="O79" s="388">
        <f>M79+N79</f>
        <v>15542.677</v>
      </c>
      <c r="P79" s="387">
        <f t="shared" si="21"/>
        <v>11941.882</v>
      </c>
      <c r="Q79" s="387">
        <f t="shared" si="21"/>
        <v>3600.795</v>
      </c>
      <c r="R79" s="388">
        <f>P79+Q79</f>
        <v>15542.677</v>
      </c>
    </row>
    <row r="80" spans="1:18" s="289" customFormat="1" ht="12.75">
      <c r="A80" s="233">
        <v>4</v>
      </c>
      <c r="B80" s="233"/>
      <c r="C80" s="234"/>
      <c r="D80" s="383"/>
      <c r="E80" s="390"/>
      <c r="F80" s="384" t="e">
        <f>ROUND(O80/L80,2)</f>
        <v>#DIV/0!</v>
      </c>
      <c r="G80" s="383"/>
      <c r="H80" s="390"/>
      <c r="I80" s="384" t="e">
        <f>ROUND(R80/L80,2)</f>
        <v>#DIV/0!</v>
      </c>
      <c r="J80" s="385" t="e">
        <f>ROUND(I80/F80*100,1)</f>
        <v>#DIV/0!</v>
      </c>
      <c r="K80" s="386"/>
      <c r="L80" s="386"/>
      <c r="M80" s="387">
        <f t="shared" si="20"/>
        <v>0</v>
      </c>
      <c r="N80" s="387">
        <f t="shared" si="20"/>
        <v>0</v>
      </c>
      <c r="O80" s="388">
        <f>M80+N80</f>
        <v>0</v>
      </c>
      <c r="P80" s="387">
        <f t="shared" si="21"/>
        <v>0</v>
      </c>
      <c r="Q80" s="387">
        <f t="shared" si="21"/>
        <v>0</v>
      </c>
      <c r="R80" s="388">
        <f>P80+Q80</f>
        <v>0</v>
      </c>
    </row>
    <row r="81" spans="1:18" ht="28.5" customHeight="1">
      <c r="A81" s="891" t="s">
        <v>121</v>
      </c>
      <c r="B81" s="891"/>
      <c r="C81" s="891"/>
      <c r="D81" s="391">
        <f>ROUND(M81/K81,6)</f>
        <v>2411.049952</v>
      </c>
      <c r="E81" s="391">
        <f>ROUND(N81/L81,6)</f>
        <v>50.089999</v>
      </c>
      <c r="F81" s="290">
        <f>ROUND(O81/L81,6)</f>
        <v>216.211295</v>
      </c>
      <c r="G81" s="391">
        <f>ROUND(P81/K81,6)</f>
        <v>2411.049952</v>
      </c>
      <c r="H81" s="391">
        <f>ROUND(Q81/L81,6)</f>
        <v>50.089999</v>
      </c>
      <c r="I81" s="294">
        <f>ROUND(R81/L81,6)</f>
        <v>216.211295</v>
      </c>
      <c r="J81" s="385">
        <f>ROUND(I81/F81*100,1)</f>
        <v>100</v>
      </c>
      <c r="K81" s="392">
        <f aca="true" t="shared" si="22" ref="K81:R81">SUM(K77:K80)</f>
        <v>4.96699</v>
      </c>
      <c r="L81" s="392">
        <f t="shared" si="22"/>
        <v>72.08986</v>
      </c>
      <c r="M81" s="393">
        <f t="shared" si="22"/>
        <v>11975.661</v>
      </c>
      <c r="N81" s="393">
        <f t="shared" si="22"/>
        <v>3610.981</v>
      </c>
      <c r="O81" s="393">
        <f t="shared" si="22"/>
        <v>15586.642</v>
      </c>
      <c r="P81" s="393">
        <f t="shared" si="22"/>
        <v>11975.661</v>
      </c>
      <c r="Q81" s="393">
        <f t="shared" si="22"/>
        <v>3610.981</v>
      </c>
      <c r="R81" s="393">
        <f t="shared" si="22"/>
        <v>15586.642</v>
      </c>
    </row>
    <row r="82" spans="1:2" ht="12.75">
      <c r="A82" s="246"/>
      <c r="B82" s="246"/>
    </row>
    <row r="83" spans="5:9" ht="12.75">
      <c r="E83" s="265"/>
      <c r="F83" s="265"/>
      <c r="G83" s="265"/>
      <c r="H83" s="265"/>
      <c r="I83" s="265"/>
    </row>
    <row r="84" spans="2:9" ht="12.75">
      <c r="B84" s="247" t="s">
        <v>182</v>
      </c>
      <c r="E84" s="265"/>
      <c r="F84" s="265"/>
      <c r="G84" s="265"/>
      <c r="H84" s="265"/>
      <c r="I84" s="265"/>
    </row>
    <row r="86" spans="1:18" ht="12.75" customHeight="1">
      <c r="A86" s="889" t="s">
        <v>105</v>
      </c>
      <c r="B86" s="889" t="s">
        <v>188</v>
      </c>
      <c r="C86" s="915" t="s">
        <v>107</v>
      </c>
      <c r="D86" s="916" t="s">
        <v>131</v>
      </c>
      <c r="E86" s="916"/>
      <c r="F86" s="916"/>
      <c r="G86" s="916"/>
      <c r="H86" s="916"/>
      <c r="I86" s="916"/>
      <c r="J86" s="916"/>
      <c r="K86" s="916"/>
      <c r="L86" s="916"/>
      <c r="M86" s="916"/>
      <c r="N86" s="916"/>
      <c r="O86" s="916"/>
      <c r="P86" s="916"/>
      <c r="Q86" s="916"/>
      <c r="R86" s="916"/>
    </row>
    <row r="87" spans="1:18" ht="57.75" customHeight="1">
      <c r="A87" s="889"/>
      <c r="B87" s="889"/>
      <c r="C87" s="915"/>
      <c r="D87" s="913" t="s">
        <v>138</v>
      </c>
      <c r="E87" s="913"/>
      <c r="F87" s="913"/>
      <c r="G87" s="913" t="s">
        <v>139</v>
      </c>
      <c r="H87" s="913"/>
      <c r="I87" s="913"/>
      <c r="J87" s="914" t="s">
        <v>189</v>
      </c>
      <c r="K87" s="913" t="s">
        <v>206</v>
      </c>
      <c r="L87" s="913"/>
      <c r="M87" s="913" t="s">
        <v>15</v>
      </c>
      <c r="N87" s="913"/>
      <c r="O87" s="913"/>
      <c r="P87" s="913"/>
      <c r="Q87" s="913"/>
      <c r="R87" s="913"/>
    </row>
    <row r="88" spans="1:18" ht="66" customHeight="1">
      <c r="A88" s="889"/>
      <c r="B88" s="889"/>
      <c r="C88" s="915"/>
      <c r="D88" s="911" t="s">
        <v>191</v>
      </c>
      <c r="E88" s="911" t="s">
        <v>192</v>
      </c>
      <c r="F88" s="912" t="s">
        <v>193</v>
      </c>
      <c r="G88" s="911" t="s">
        <v>191</v>
      </c>
      <c r="H88" s="911" t="s">
        <v>192</v>
      </c>
      <c r="I88" s="912" t="s">
        <v>194</v>
      </c>
      <c r="J88" s="914"/>
      <c r="K88" s="913"/>
      <c r="L88" s="913"/>
      <c r="M88" s="913" t="s">
        <v>195</v>
      </c>
      <c r="N88" s="913"/>
      <c r="O88" s="913"/>
      <c r="P88" s="913" t="s">
        <v>207</v>
      </c>
      <c r="Q88" s="913"/>
      <c r="R88" s="913"/>
    </row>
    <row r="89" spans="1:18" ht="99" customHeight="1">
      <c r="A89" s="889"/>
      <c r="B89" s="889"/>
      <c r="C89" s="915"/>
      <c r="D89" s="911"/>
      <c r="E89" s="911"/>
      <c r="F89" s="912"/>
      <c r="G89" s="911"/>
      <c r="H89" s="911"/>
      <c r="I89" s="912"/>
      <c r="J89" s="914"/>
      <c r="K89" s="305" t="s">
        <v>208</v>
      </c>
      <c r="L89" s="305" t="s">
        <v>209</v>
      </c>
      <c r="M89" s="305" t="s">
        <v>199</v>
      </c>
      <c r="N89" s="305" t="s">
        <v>200</v>
      </c>
      <c r="O89" s="375" t="s">
        <v>201</v>
      </c>
      <c r="P89" s="305" t="s">
        <v>202</v>
      </c>
      <c r="Q89" s="305" t="s">
        <v>203</v>
      </c>
      <c r="R89" s="375" t="s">
        <v>204</v>
      </c>
    </row>
    <row r="90" spans="1:18" ht="12.75">
      <c r="A90" s="280"/>
      <c r="B90" s="280"/>
      <c r="C90" s="280"/>
      <c r="D90" s="376" t="s">
        <v>149</v>
      </c>
      <c r="E90" s="377" t="s">
        <v>205</v>
      </c>
      <c r="F90" s="378" t="s">
        <v>205</v>
      </c>
      <c r="G90" s="377" t="s">
        <v>149</v>
      </c>
      <c r="H90" s="377" t="s">
        <v>205</v>
      </c>
      <c r="I90" s="378" t="s">
        <v>205</v>
      </c>
      <c r="J90" s="377" t="s">
        <v>33</v>
      </c>
      <c r="K90" s="377" t="s">
        <v>42</v>
      </c>
      <c r="L90" s="377" t="s">
        <v>177</v>
      </c>
      <c r="M90" s="377" t="s">
        <v>36</v>
      </c>
      <c r="N90" s="377" t="s">
        <v>36</v>
      </c>
      <c r="O90" s="378" t="s">
        <v>36</v>
      </c>
      <c r="P90" s="377" t="s">
        <v>36</v>
      </c>
      <c r="Q90" s="377" t="s">
        <v>36</v>
      </c>
      <c r="R90" s="378" t="s">
        <v>36</v>
      </c>
    </row>
    <row r="91" spans="1:18" ht="12.75">
      <c r="A91" s="379">
        <v>1</v>
      </c>
      <c r="B91" s="379">
        <f aca="true" t="shared" si="23" ref="B91:R91">A91+1</f>
        <v>2</v>
      </c>
      <c r="C91" s="379">
        <f t="shared" si="23"/>
        <v>3</v>
      </c>
      <c r="D91" s="379">
        <f t="shared" si="23"/>
        <v>4</v>
      </c>
      <c r="E91" s="380">
        <f t="shared" si="23"/>
        <v>5</v>
      </c>
      <c r="F91" s="381">
        <f t="shared" si="23"/>
        <v>6</v>
      </c>
      <c r="G91" s="380">
        <f t="shared" si="23"/>
        <v>7</v>
      </c>
      <c r="H91" s="380">
        <f t="shared" si="23"/>
        <v>8</v>
      </c>
      <c r="I91" s="381">
        <f t="shared" si="23"/>
        <v>9</v>
      </c>
      <c r="J91" s="380">
        <f t="shared" si="23"/>
        <v>10</v>
      </c>
      <c r="K91" s="380">
        <f t="shared" si="23"/>
        <v>11</v>
      </c>
      <c r="L91" s="380">
        <f t="shared" si="23"/>
        <v>12</v>
      </c>
      <c r="M91" s="380">
        <f t="shared" si="23"/>
        <v>13</v>
      </c>
      <c r="N91" s="380">
        <f t="shared" si="23"/>
        <v>14</v>
      </c>
      <c r="O91" s="381">
        <f t="shared" si="23"/>
        <v>15</v>
      </c>
      <c r="P91" s="380">
        <f t="shared" si="23"/>
        <v>16</v>
      </c>
      <c r="Q91" s="380">
        <f t="shared" si="23"/>
        <v>17</v>
      </c>
      <c r="R91" s="381">
        <f t="shared" si="23"/>
        <v>18</v>
      </c>
    </row>
    <row r="92" spans="1:18" ht="12.75">
      <c r="A92" s="233"/>
      <c r="B92" s="234">
        <f>'норм. ГВС  (3-1)'!B95</f>
        <v>0</v>
      </c>
      <c r="C92" s="234">
        <f>'норм. ГВС  (3-1)'!C95</f>
        <v>0</v>
      </c>
      <c r="D92" s="383"/>
      <c r="E92" s="383"/>
      <c r="F92" s="384" t="e">
        <f>ROUND(O92/L92,2)</f>
        <v>#DIV/0!</v>
      </c>
      <c r="G92" s="383"/>
      <c r="H92" s="383"/>
      <c r="I92" s="384" t="e">
        <f>ROUND(R92/L92,2)</f>
        <v>#DIV/0!</v>
      </c>
      <c r="J92" s="385" t="e">
        <f>ROUND(I92/F92*100,1)</f>
        <v>#DIV/0!</v>
      </c>
      <c r="K92" s="386">
        <f>'норм. ГВС  (3-1)'!K95</f>
        <v>0</v>
      </c>
      <c r="L92" s="386">
        <f>'норм. ГВС  (3-1)'!L95</f>
        <v>0</v>
      </c>
      <c r="M92" s="387">
        <f aca="true" t="shared" si="24" ref="M92:N94">ROUND(D92*K92,3)</f>
        <v>0</v>
      </c>
      <c r="N92" s="387">
        <f t="shared" si="24"/>
        <v>0</v>
      </c>
      <c r="O92" s="388">
        <f>M92+N92</f>
        <v>0</v>
      </c>
      <c r="P92" s="387">
        <f aca="true" t="shared" si="25" ref="P92:Q94">ROUND(G92*K92,3)</f>
        <v>0</v>
      </c>
      <c r="Q92" s="387">
        <f t="shared" si="25"/>
        <v>0</v>
      </c>
      <c r="R92" s="388">
        <f>P92+Q92</f>
        <v>0</v>
      </c>
    </row>
    <row r="93" spans="1:18" ht="12.75">
      <c r="A93" s="233"/>
      <c r="B93" s="234">
        <f>'норм. ГВС  (3-1)'!B96</f>
        <v>0</v>
      </c>
      <c r="C93" s="234">
        <f>'норм. ГВС  (3-1)'!C96</f>
        <v>0</v>
      </c>
      <c r="D93" s="383"/>
      <c r="E93" s="390"/>
      <c r="F93" s="384" t="e">
        <f>ROUND(O93/L93,2)</f>
        <v>#DIV/0!</v>
      </c>
      <c r="G93" s="383"/>
      <c r="H93" s="390"/>
      <c r="I93" s="384" t="e">
        <f>ROUND(R93/L93,2)</f>
        <v>#DIV/0!</v>
      </c>
      <c r="J93" s="385" t="e">
        <f>ROUND(I93/F93*100,1)</f>
        <v>#DIV/0!</v>
      </c>
      <c r="K93" s="386">
        <f>'норм. ГВС  (3-1)'!K96</f>
        <v>0</v>
      </c>
      <c r="L93" s="386">
        <f>'норм. ГВС  (3-1)'!L96</f>
        <v>0</v>
      </c>
      <c r="M93" s="387">
        <f t="shared" si="24"/>
        <v>0</v>
      </c>
      <c r="N93" s="387">
        <f t="shared" si="24"/>
        <v>0</v>
      </c>
      <c r="O93" s="388">
        <f>M93+N93</f>
        <v>0</v>
      </c>
      <c r="P93" s="387">
        <f t="shared" si="25"/>
        <v>0</v>
      </c>
      <c r="Q93" s="387">
        <f t="shared" si="25"/>
        <v>0</v>
      </c>
      <c r="R93" s="388">
        <f>P93+Q93</f>
        <v>0</v>
      </c>
    </row>
    <row r="94" spans="1:18" ht="12.75">
      <c r="A94" s="233"/>
      <c r="B94" s="234">
        <f>'норм. ГВС  (3-1)'!B97</f>
        <v>0</v>
      </c>
      <c r="C94" s="234">
        <f>'норм. ГВС  (3-1)'!C97</f>
        <v>0</v>
      </c>
      <c r="D94" s="383"/>
      <c r="E94" s="390"/>
      <c r="F94" s="384" t="e">
        <f>ROUND(O94/L94,2)</f>
        <v>#DIV/0!</v>
      </c>
      <c r="G94" s="383"/>
      <c r="H94" s="390"/>
      <c r="I94" s="384" t="e">
        <f>ROUND(R94/L94,2)</f>
        <v>#DIV/0!</v>
      </c>
      <c r="J94" s="385" t="e">
        <f>ROUND(I94/F94*100,1)</f>
        <v>#DIV/0!</v>
      </c>
      <c r="K94" s="386">
        <f>'норм. ГВС  (3-1)'!K97</f>
        <v>0</v>
      </c>
      <c r="L94" s="386">
        <f>'норм. ГВС  (3-1)'!L97</f>
        <v>0</v>
      </c>
      <c r="M94" s="387">
        <f t="shared" si="24"/>
        <v>0</v>
      </c>
      <c r="N94" s="387">
        <f t="shared" si="24"/>
        <v>0</v>
      </c>
      <c r="O94" s="388">
        <f>M94+N94</f>
        <v>0</v>
      </c>
      <c r="P94" s="387">
        <f t="shared" si="25"/>
        <v>0</v>
      </c>
      <c r="Q94" s="387">
        <f t="shared" si="25"/>
        <v>0</v>
      </c>
      <c r="R94" s="388">
        <f>P94+Q94</f>
        <v>0</v>
      </c>
    </row>
    <row r="95" spans="1:18" ht="30.75" customHeight="1">
      <c r="A95" s="891" t="s">
        <v>121</v>
      </c>
      <c r="B95" s="891"/>
      <c r="C95" s="891"/>
      <c r="D95" s="391" t="e">
        <f>ROUND(M95/K95,6)</f>
        <v>#DIV/0!</v>
      </c>
      <c r="E95" s="391" t="e">
        <f>ROUND(N95/L95,6)</f>
        <v>#DIV/0!</v>
      </c>
      <c r="F95" s="290" t="e">
        <f>ROUND(O95/L95,6)</f>
        <v>#DIV/0!</v>
      </c>
      <c r="G95" s="391" t="e">
        <f>ROUND(P95/K95,6)</f>
        <v>#DIV/0!</v>
      </c>
      <c r="H95" s="391" t="e">
        <f>ROUND(Q95/L95,6)</f>
        <v>#DIV/0!</v>
      </c>
      <c r="I95" s="294" t="e">
        <f>ROUND(R95/L95,6)</f>
        <v>#DIV/0!</v>
      </c>
      <c r="J95" s="385" t="e">
        <f>ROUND(I95/F95*100,1)</f>
        <v>#DIV/0!</v>
      </c>
      <c r="K95" s="392">
        <f aca="true" t="shared" si="26" ref="K95:R95">SUM(K92:K94)</f>
        <v>0</v>
      </c>
      <c r="L95" s="392">
        <f t="shared" si="26"/>
        <v>0</v>
      </c>
      <c r="M95" s="393">
        <f t="shared" si="26"/>
        <v>0</v>
      </c>
      <c r="N95" s="393">
        <f t="shared" si="26"/>
        <v>0</v>
      </c>
      <c r="O95" s="393">
        <f t="shared" si="26"/>
        <v>0</v>
      </c>
      <c r="P95" s="393">
        <f t="shared" si="26"/>
        <v>0</v>
      </c>
      <c r="Q95" s="393">
        <f t="shared" si="26"/>
        <v>0</v>
      </c>
      <c r="R95" s="393">
        <f t="shared" si="26"/>
        <v>0</v>
      </c>
    </row>
    <row r="96" spans="1:15" s="366" customFormat="1" ht="15.75">
      <c r="A96" s="395"/>
      <c r="B96" s="360"/>
      <c r="C96" s="360"/>
      <c r="D96" s="395"/>
      <c r="E96" s="395"/>
      <c r="F96" s="396"/>
      <c r="G96" s="272"/>
      <c r="H96" s="272"/>
      <c r="I96" s="272"/>
      <c r="J96" s="272"/>
      <c r="K96" s="272"/>
      <c r="L96" s="272"/>
      <c r="M96" s="395"/>
      <c r="N96" s="395"/>
      <c r="O96" s="395"/>
    </row>
    <row r="97" spans="1:15" ht="15.75" customHeight="1">
      <c r="A97" s="274"/>
      <c r="B97" s="883" t="s">
        <v>157</v>
      </c>
      <c r="C97" s="883"/>
      <c r="D97" s="274"/>
      <c r="E97" s="274"/>
      <c r="F97" s="221"/>
      <c r="G97" s="222"/>
      <c r="H97" s="222"/>
      <c r="I97" s="222"/>
      <c r="J97" s="222"/>
      <c r="K97" s="222"/>
      <c r="L97" s="222"/>
      <c r="M97" s="274"/>
      <c r="N97" s="274"/>
      <c r="O97" s="274"/>
    </row>
    <row r="98" spans="2:15" ht="12.75">
      <c r="B98" s="263" t="s">
        <v>132</v>
      </c>
      <c r="C98" s="264"/>
      <c r="G98" s="265"/>
      <c r="J98" s="265"/>
      <c r="K98" s="265"/>
      <c r="L98" s="265"/>
      <c r="M98" s="265"/>
      <c r="N98" s="265"/>
      <c r="O98" s="265"/>
    </row>
    <row r="99" spans="1:20" ht="15.75">
      <c r="A99" s="370"/>
      <c r="B99" s="304" t="s">
        <v>168</v>
      </c>
      <c r="C99" s="373"/>
      <c r="D99" s="373"/>
      <c r="E99" s="373"/>
      <c r="F99" s="373"/>
      <c r="G99" s="373"/>
      <c r="H99" s="373"/>
      <c r="I99" s="373"/>
      <c r="J99" s="373"/>
      <c r="K99" s="373"/>
      <c r="L99" s="374"/>
      <c r="M99" s="374"/>
      <c r="N99" s="222"/>
      <c r="O99" s="370"/>
      <c r="P99" s="370"/>
      <c r="Q99" s="370"/>
      <c r="R99" s="370"/>
      <c r="S99" s="370"/>
      <c r="T99" s="370"/>
    </row>
    <row r="100" spans="1:18" ht="12.75" customHeight="1">
      <c r="A100" s="889" t="s">
        <v>105</v>
      </c>
      <c r="B100" s="889" t="s">
        <v>188</v>
      </c>
      <c r="C100" s="889" t="s">
        <v>107</v>
      </c>
      <c r="D100" s="916" t="s">
        <v>210</v>
      </c>
      <c r="E100" s="916"/>
      <c r="F100" s="916"/>
      <c r="G100" s="916"/>
      <c r="H100" s="916"/>
      <c r="I100" s="916"/>
      <c r="J100" s="916"/>
      <c r="K100" s="916"/>
      <c r="L100" s="916"/>
      <c r="M100" s="916"/>
      <c r="N100" s="916"/>
      <c r="O100" s="916"/>
      <c r="P100" s="916"/>
      <c r="Q100" s="916"/>
      <c r="R100" s="916"/>
    </row>
    <row r="101" spans="1:18" s="276" customFormat="1" ht="66.75" customHeight="1">
      <c r="A101" s="889"/>
      <c r="B101" s="889"/>
      <c r="C101" s="889"/>
      <c r="D101" s="913" t="s">
        <v>138</v>
      </c>
      <c r="E101" s="913"/>
      <c r="F101" s="913"/>
      <c r="G101" s="913" t="s">
        <v>139</v>
      </c>
      <c r="H101" s="913"/>
      <c r="I101" s="913"/>
      <c r="J101" s="914" t="s">
        <v>189</v>
      </c>
      <c r="K101" s="913" t="s">
        <v>190</v>
      </c>
      <c r="L101" s="913"/>
      <c r="M101" s="913" t="s">
        <v>15</v>
      </c>
      <c r="N101" s="913"/>
      <c r="O101" s="913"/>
      <c r="P101" s="913"/>
      <c r="Q101" s="913"/>
      <c r="R101" s="913"/>
    </row>
    <row r="102" spans="1:18" s="276" customFormat="1" ht="63" customHeight="1">
      <c r="A102" s="889"/>
      <c r="B102" s="889"/>
      <c r="C102" s="889"/>
      <c r="D102" s="911" t="s">
        <v>191</v>
      </c>
      <c r="E102" s="911" t="s">
        <v>192</v>
      </c>
      <c r="F102" s="912" t="s">
        <v>193</v>
      </c>
      <c r="G102" s="911" t="s">
        <v>191</v>
      </c>
      <c r="H102" s="911" t="s">
        <v>192</v>
      </c>
      <c r="I102" s="912" t="s">
        <v>194</v>
      </c>
      <c r="J102" s="914"/>
      <c r="K102" s="913"/>
      <c r="L102" s="913"/>
      <c r="M102" s="913" t="s">
        <v>195</v>
      </c>
      <c r="N102" s="913"/>
      <c r="O102" s="913"/>
      <c r="P102" s="913" t="s">
        <v>196</v>
      </c>
      <c r="Q102" s="913"/>
      <c r="R102" s="913"/>
    </row>
    <row r="103" spans="1:18" s="276" customFormat="1" ht="60.75" customHeight="1">
      <c r="A103" s="889"/>
      <c r="B103" s="889"/>
      <c r="C103" s="889"/>
      <c r="D103" s="911"/>
      <c r="E103" s="911"/>
      <c r="F103" s="912"/>
      <c r="G103" s="911"/>
      <c r="H103" s="911"/>
      <c r="I103" s="912"/>
      <c r="J103" s="914"/>
      <c r="K103" s="305" t="s">
        <v>197</v>
      </c>
      <c r="L103" s="305" t="s">
        <v>198</v>
      </c>
      <c r="M103" s="305" t="s">
        <v>199</v>
      </c>
      <c r="N103" s="305" t="s">
        <v>200</v>
      </c>
      <c r="O103" s="375" t="s">
        <v>201</v>
      </c>
      <c r="P103" s="305" t="s">
        <v>202</v>
      </c>
      <c r="Q103" s="305" t="s">
        <v>203</v>
      </c>
      <c r="R103" s="375" t="s">
        <v>204</v>
      </c>
    </row>
    <row r="104" spans="1:18" s="279" customFormat="1" ht="12" customHeight="1">
      <c r="A104" s="280"/>
      <c r="B104" s="280"/>
      <c r="C104" s="280"/>
      <c r="D104" s="376" t="s">
        <v>149</v>
      </c>
      <c r="E104" s="377" t="s">
        <v>205</v>
      </c>
      <c r="F104" s="378" t="s">
        <v>205</v>
      </c>
      <c r="G104" s="377" t="s">
        <v>149</v>
      </c>
      <c r="H104" s="377" t="s">
        <v>205</v>
      </c>
      <c r="I104" s="378" t="s">
        <v>205</v>
      </c>
      <c r="J104" s="377" t="s">
        <v>33</v>
      </c>
      <c r="K104" s="377" t="s">
        <v>42</v>
      </c>
      <c r="L104" s="377" t="s">
        <v>177</v>
      </c>
      <c r="M104" s="377" t="s">
        <v>36</v>
      </c>
      <c r="N104" s="377" t="s">
        <v>36</v>
      </c>
      <c r="O104" s="378" t="s">
        <v>36</v>
      </c>
      <c r="P104" s="377" t="s">
        <v>36</v>
      </c>
      <c r="Q104" s="377" t="s">
        <v>36</v>
      </c>
      <c r="R104" s="378" t="s">
        <v>36</v>
      </c>
    </row>
    <row r="105" spans="1:18" s="382" customFormat="1" ht="12" customHeight="1">
      <c r="A105" s="379">
        <v>1</v>
      </c>
      <c r="B105" s="379">
        <f aca="true" t="shared" si="27" ref="B105:R105">A105+1</f>
        <v>2</v>
      </c>
      <c r="C105" s="379">
        <f t="shared" si="27"/>
        <v>3</v>
      </c>
      <c r="D105" s="379">
        <f t="shared" si="27"/>
        <v>4</v>
      </c>
      <c r="E105" s="380">
        <f t="shared" si="27"/>
        <v>5</v>
      </c>
      <c r="F105" s="381">
        <f t="shared" si="27"/>
        <v>6</v>
      </c>
      <c r="G105" s="380">
        <f t="shared" si="27"/>
        <v>7</v>
      </c>
      <c r="H105" s="380">
        <f t="shared" si="27"/>
        <v>8</v>
      </c>
      <c r="I105" s="381">
        <f t="shared" si="27"/>
        <v>9</v>
      </c>
      <c r="J105" s="380">
        <f t="shared" si="27"/>
        <v>10</v>
      </c>
      <c r="K105" s="380">
        <f t="shared" si="27"/>
        <v>11</v>
      </c>
      <c r="L105" s="380">
        <f t="shared" si="27"/>
        <v>12</v>
      </c>
      <c r="M105" s="380">
        <f t="shared" si="27"/>
        <v>13</v>
      </c>
      <c r="N105" s="380">
        <f t="shared" si="27"/>
        <v>14</v>
      </c>
      <c r="O105" s="381">
        <f t="shared" si="27"/>
        <v>15</v>
      </c>
      <c r="P105" s="380">
        <f t="shared" si="27"/>
        <v>16</v>
      </c>
      <c r="Q105" s="380">
        <f t="shared" si="27"/>
        <v>17</v>
      </c>
      <c r="R105" s="381">
        <f t="shared" si="27"/>
        <v>18</v>
      </c>
    </row>
    <row r="106" spans="1:18" s="389" customFormat="1" ht="12" customHeight="1">
      <c r="A106" s="233">
        <v>1</v>
      </c>
      <c r="B106" s="233" t="str">
        <f>'норм. ГВС  (3-1)'!B110</f>
        <v>п.Рассвет</v>
      </c>
      <c r="C106" s="234" t="str">
        <f>'норм. ГВС  (3-1)'!C110</f>
        <v>ООО «Жилбытсервис»</v>
      </c>
      <c r="D106" s="835">
        <v>2411.05</v>
      </c>
      <c r="E106" s="836">
        <v>50.09</v>
      </c>
      <c r="F106" s="384">
        <f>ROUND(O106/L106,2)</f>
        <v>216.2</v>
      </c>
      <c r="G106" s="284">
        <f aca="true" t="shared" si="28" ref="G106:H108">D106</f>
        <v>2411.05</v>
      </c>
      <c r="H106" s="383">
        <f t="shared" si="28"/>
        <v>50.09</v>
      </c>
      <c r="I106" s="384">
        <f>ROUND(R106/L106,2)</f>
        <v>216.2</v>
      </c>
      <c r="J106" s="385">
        <f>ROUND(I106/F106*100,1)</f>
        <v>100</v>
      </c>
      <c r="K106" s="386">
        <f>'норм. ГВС  (3-1)'!K110</f>
        <v>0.02768</v>
      </c>
      <c r="L106" s="386">
        <f>'норм. ГВС  (3-1)'!L110</f>
        <v>0.40176</v>
      </c>
      <c r="M106" s="387">
        <f aca="true" t="shared" si="29" ref="M106:N109">ROUND(D106*K106,3)</f>
        <v>66.738</v>
      </c>
      <c r="N106" s="387">
        <f t="shared" si="29"/>
        <v>20.124</v>
      </c>
      <c r="O106" s="388">
        <f>M106+N106</f>
        <v>86.862</v>
      </c>
      <c r="P106" s="387">
        <f aca="true" t="shared" si="30" ref="P106:Q109">ROUND(G106*K106,3)</f>
        <v>66.738</v>
      </c>
      <c r="Q106" s="387">
        <f t="shared" si="30"/>
        <v>20.124</v>
      </c>
      <c r="R106" s="388">
        <f>P106+Q106</f>
        <v>86.862</v>
      </c>
    </row>
    <row r="107" spans="1:18" s="289" customFormat="1" ht="12.75">
      <c r="A107" s="233">
        <v>2</v>
      </c>
      <c r="B107" s="233"/>
      <c r="C107" s="234"/>
      <c r="D107" s="835">
        <v>2411.05</v>
      </c>
      <c r="E107" s="836">
        <v>50.09</v>
      </c>
      <c r="F107" s="384">
        <f>ROUND(O107/L107,2)</f>
        <v>215.32</v>
      </c>
      <c r="G107" s="284">
        <f t="shared" si="28"/>
        <v>2411.05</v>
      </c>
      <c r="H107" s="383">
        <f t="shared" si="28"/>
        <v>50.09</v>
      </c>
      <c r="I107" s="384">
        <f>ROUND(R107/L107,2)</f>
        <v>215.32</v>
      </c>
      <c r="J107" s="385">
        <f>ROUND(I107/F107*100,1)</f>
        <v>100</v>
      </c>
      <c r="K107" s="386">
        <f>'норм. ГВС  (3-1)'!K111</f>
        <v>0.00034</v>
      </c>
      <c r="L107" s="386">
        <f>'норм. ГВС  (3-1)'!L111</f>
        <v>0.00496</v>
      </c>
      <c r="M107" s="387">
        <f t="shared" si="29"/>
        <v>0.82</v>
      </c>
      <c r="N107" s="387">
        <f t="shared" si="29"/>
        <v>0.248</v>
      </c>
      <c r="O107" s="388">
        <f>M107+N107</f>
        <v>1.068</v>
      </c>
      <c r="P107" s="387">
        <f t="shared" si="30"/>
        <v>0.82</v>
      </c>
      <c r="Q107" s="387">
        <f t="shared" si="30"/>
        <v>0.248</v>
      </c>
      <c r="R107" s="388">
        <f>P107+Q107</f>
        <v>1.068</v>
      </c>
    </row>
    <row r="108" spans="1:18" s="289" customFormat="1" ht="12.75">
      <c r="A108" s="233">
        <v>3</v>
      </c>
      <c r="B108" s="233"/>
      <c r="C108" s="234"/>
      <c r="D108" s="835">
        <v>2411.05</v>
      </c>
      <c r="E108" s="836">
        <v>50.09</v>
      </c>
      <c r="F108" s="384">
        <f>ROUND(O108/L108,2)</f>
        <v>216.21</v>
      </c>
      <c r="G108" s="284">
        <f t="shared" si="28"/>
        <v>2411.05</v>
      </c>
      <c r="H108" s="383">
        <f t="shared" si="28"/>
        <v>50.09</v>
      </c>
      <c r="I108" s="384">
        <f>ROUND(R108/L108,2)</f>
        <v>216.21</v>
      </c>
      <c r="J108" s="385">
        <f>ROUND(I108/F108*100,1)</f>
        <v>100</v>
      </c>
      <c r="K108" s="386">
        <f>'норм. ГВС  (3-1)'!K114</f>
        <v>9.90596</v>
      </c>
      <c r="L108" s="386">
        <f>'норм. ГВС  (3-1)'!L114</f>
        <v>143.773</v>
      </c>
      <c r="M108" s="387">
        <f t="shared" si="29"/>
        <v>23883.765</v>
      </c>
      <c r="N108" s="387">
        <f t="shared" si="29"/>
        <v>7201.59</v>
      </c>
      <c r="O108" s="388">
        <f>M108+N108</f>
        <v>31085.355</v>
      </c>
      <c r="P108" s="387">
        <f t="shared" si="30"/>
        <v>23883.765</v>
      </c>
      <c r="Q108" s="387">
        <f t="shared" si="30"/>
        <v>7201.59</v>
      </c>
      <c r="R108" s="388">
        <f>P108+Q108</f>
        <v>31085.355</v>
      </c>
    </row>
    <row r="109" spans="1:18" s="289" customFormat="1" ht="12.75">
      <c r="A109" s="233">
        <v>4</v>
      </c>
      <c r="B109" s="233"/>
      <c r="C109" s="234"/>
      <c r="D109" s="383"/>
      <c r="E109" s="390"/>
      <c r="F109" s="384" t="e">
        <f>ROUND(O109/L109,2)</f>
        <v>#DIV/0!</v>
      </c>
      <c r="G109" s="383"/>
      <c r="H109" s="390"/>
      <c r="I109" s="384" t="e">
        <f>ROUND(R109/L109,2)</f>
        <v>#DIV/0!</v>
      </c>
      <c r="J109" s="385" t="e">
        <f>ROUND(I109/F109*100,1)</f>
        <v>#DIV/0!</v>
      </c>
      <c r="K109" s="386"/>
      <c r="L109" s="386"/>
      <c r="M109" s="387">
        <f t="shared" si="29"/>
        <v>0</v>
      </c>
      <c r="N109" s="387">
        <f t="shared" si="29"/>
        <v>0</v>
      </c>
      <c r="O109" s="388">
        <f>M109+N109</f>
        <v>0</v>
      </c>
      <c r="P109" s="387">
        <f t="shared" si="30"/>
        <v>0</v>
      </c>
      <c r="Q109" s="387">
        <f t="shared" si="30"/>
        <v>0</v>
      </c>
      <c r="R109" s="388">
        <f>P109+Q109</f>
        <v>0</v>
      </c>
    </row>
    <row r="110" spans="1:18" ht="28.5" customHeight="1">
      <c r="A110" s="891" t="s">
        <v>121</v>
      </c>
      <c r="B110" s="891"/>
      <c r="C110" s="891"/>
      <c r="D110" s="391">
        <f>ROUND(M110/K110,6)</f>
        <v>2411.050052</v>
      </c>
      <c r="E110" s="391">
        <f>ROUND(N110/L110,6)</f>
        <v>50.089999</v>
      </c>
      <c r="F110" s="290">
        <f>ROUND(O110/L110,6)</f>
        <v>216.211302</v>
      </c>
      <c r="G110" s="391">
        <f>ROUND(P110/K110,6)</f>
        <v>2411.050052</v>
      </c>
      <c r="H110" s="391">
        <f>ROUND(Q110/L110,6)</f>
        <v>50.089999</v>
      </c>
      <c r="I110" s="294">
        <f>ROUND(R110/L110,6)</f>
        <v>216.211302</v>
      </c>
      <c r="J110" s="385">
        <f>ROUND(I110/F110*100,1)</f>
        <v>100</v>
      </c>
      <c r="K110" s="392">
        <f aca="true" t="shared" si="31" ref="K110:R110">SUM(K106:K109)</f>
        <v>9.93398</v>
      </c>
      <c r="L110" s="392">
        <f t="shared" si="31"/>
        <v>144.17972</v>
      </c>
      <c r="M110" s="393">
        <f t="shared" si="31"/>
        <v>23951.323</v>
      </c>
      <c r="N110" s="393">
        <f t="shared" si="31"/>
        <v>7221.962</v>
      </c>
      <c r="O110" s="393">
        <f t="shared" si="31"/>
        <v>31173.285</v>
      </c>
      <c r="P110" s="393">
        <f t="shared" si="31"/>
        <v>23951.323</v>
      </c>
      <c r="Q110" s="393">
        <f t="shared" si="31"/>
        <v>7221.962</v>
      </c>
      <c r="R110" s="393">
        <f t="shared" si="31"/>
        <v>31173.285</v>
      </c>
    </row>
    <row r="111" spans="1:2" ht="12.75">
      <c r="A111" s="246"/>
      <c r="B111" s="246"/>
    </row>
    <row r="112" spans="5:9" ht="12.75">
      <c r="E112" s="265"/>
      <c r="F112" s="265"/>
      <c r="G112" s="265"/>
      <c r="H112" s="265"/>
      <c r="I112" s="265"/>
    </row>
    <row r="113" spans="2:9" ht="12.75">
      <c r="B113" s="247" t="s">
        <v>182</v>
      </c>
      <c r="E113" s="265"/>
      <c r="F113" s="265"/>
      <c r="G113" s="265"/>
      <c r="H113" s="265"/>
      <c r="I113" s="265"/>
    </row>
    <row r="115" spans="1:18" ht="12.75" customHeight="1">
      <c r="A115" s="889" t="s">
        <v>105</v>
      </c>
      <c r="B115" s="889" t="s">
        <v>188</v>
      </c>
      <c r="C115" s="915" t="s">
        <v>107</v>
      </c>
      <c r="D115" s="916" t="s">
        <v>210</v>
      </c>
      <c r="E115" s="916"/>
      <c r="F115" s="916"/>
      <c r="G115" s="916"/>
      <c r="H115" s="916"/>
      <c r="I115" s="916"/>
      <c r="J115" s="916"/>
      <c r="K115" s="916"/>
      <c r="L115" s="916"/>
      <c r="M115" s="916"/>
      <c r="N115" s="916"/>
      <c r="O115" s="916"/>
      <c r="P115" s="916"/>
      <c r="Q115" s="916"/>
      <c r="R115" s="916"/>
    </row>
    <row r="116" spans="1:18" ht="57.75" customHeight="1">
      <c r="A116" s="889"/>
      <c r="B116" s="889"/>
      <c r="C116" s="915"/>
      <c r="D116" s="913" t="s">
        <v>138</v>
      </c>
      <c r="E116" s="913"/>
      <c r="F116" s="913"/>
      <c r="G116" s="913" t="s">
        <v>139</v>
      </c>
      <c r="H116" s="913"/>
      <c r="I116" s="913"/>
      <c r="J116" s="914" t="s">
        <v>189</v>
      </c>
      <c r="K116" s="913" t="s">
        <v>206</v>
      </c>
      <c r="L116" s="913"/>
      <c r="M116" s="913" t="s">
        <v>15</v>
      </c>
      <c r="N116" s="913"/>
      <c r="O116" s="913"/>
      <c r="P116" s="913"/>
      <c r="Q116" s="913"/>
      <c r="R116" s="913"/>
    </row>
    <row r="117" spans="1:18" ht="66" customHeight="1">
      <c r="A117" s="889"/>
      <c r="B117" s="889"/>
      <c r="C117" s="915"/>
      <c r="D117" s="911" t="s">
        <v>191</v>
      </c>
      <c r="E117" s="911" t="s">
        <v>192</v>
      </c>
      <c r="F117" s="912" t="s">
        <v>193</v>
      </c>
      <c r="G117" s="911" t="s">
        <v>191</v>
      </c>
      <c r="H117" s="911" t="s">
        <v>192</v>
      </c>
      <c r="I117" s="912" t="s">
        <v>194</v>
      </c>
      <c r="J117" s="914"/>
      <c r="K117" s="913"/>
      <c r="L117" s="913"/>
      <c r="M117" s="913" t="s">
        <v>195</v>
      </c>
      <c r="N117" s="913"/>
      <c r="O117" s="913"/>
      <c r="P117" s="913" t="s">
        <v>207</v>
      </c>
      <c r="Q117" s="913"/>
      <c r="R117" s="913"/>
    </row>
    <row r="118" spans="1:18" ht="99" customHeight="1">
      <c r="A118" s="889"/>
      <c r="B118" s="889"/>
      <c r="C118" s="915"/>
      <c r="D118" s="911"/>
      <c r="E118" s="911"/>
      <c r="F118" s="912"/>
      <c r="G118" s="911"/>
      <c r="H118" s="911"/>
      <c r="I118" s="912"/>
      <c r="J118" s="914"/>
      <c r="K118" s="305" t="s">
        <v>208</v>
      </c>
      <c r="L118" s="305" t="s">
        <v>209</v>
      </c>
      <c r="M118" s="305" t="s">
        <v>199</v>
      </c>
      <c r="N118" s="305" t="s">
        <v>200</v>
      </c>
      <c r="O118" s="375" t="s">
        <v>201</v>
      </c>
      <c r="P118" s="305" t="s">
        <v>202</v>
      </c>
      <c r="Q118" s="305" t="s">
        <v>203</v>
      </c>
      <c r="R118" s="375" t="s">
        <v>204</v>
      </c>
    </row>
    <row r="119" spans="1:18" ht="12.75">
      <c r="A119" s="280"/>
      <c r="B119" s="280"/>
      <c r="C119" s="280"/>
      <c r="D119" s="376" t="s">
        <v>149</v>
      </c>
      <c r="E119" s="377" t="s">
        <v>205</v>
      </c>
      <c r="F119" s="378" t="s">
        <v>205</v>
      </c>
      <c r="G119" s="377" t="s">
        <v>149</v>
      </c>
      <c r="H119" s="377" t="s">
        <v>205</v>
      </c>
      <c r="I119" s="378" t="s">
        <v>205</v>
      </c>
      <c r="J119" s="377" t="s">
        <v>33</v>
      </c>
      <c r="K119" s="377" t="s">
        <v>42</v>
      </c>
      <c r="L119" s="377" t="s">
        <v>177</v>
      </c>
      <c r="M119" s="377" t="s">
        <v>36</v>
      </c>
      <c r="N119" s="377" t="s">
        <v>36</v>
      </c>
      <c r="O119" s="378" t="s">
        <v>36</v>
      </c>
      <c r="P119" s="377" t="s">
        <v>36</v>
      </c>
      <c r="Q119" s="377" t="s">
        <v>36</v>
      </c>
      <c r="R119" s="378" t="s">
        <v>36</v>
      </c>
    </row>
    <row r="120" spans="1:18" ht="12.75">
      <c r="A120" s="379">
        <v>1</v>
      </c>
      <c r="B120" s="379">
        <f aca="true" t="shared" si="32" ref="B120:R120">A120+1</f>
        <v>2</v>
      </c>
      <c r="C120" s="379">
        <f t="shared" si="32"/>
        <v>3</v>
      </c>
      <c r="D120" s="379">
        <f t="shared" si="32"/>
        <v>4</v>
      </c>
      <c r="E120" s="380">
        <f t="shared" si="32"/>
        <v>5</v>
      </c>
      <c r="F120" s="381">
        <f t="shared" si="32"/>
        <v>6</v>
      </c>
      <c r="G120" s="380">
        <f t="shared" si="32"/>
        <v>7</v>
      </c>
      <c r="H120" s="380">
        <f t="shared" si="32"/>
        <v>8</v>
      </c>
      <c r="I120" s="381">
        <f t="shared" si="32"/>
        <v>9</v>
      </c>
      <c r="J120" s="380">
        <f t="shared" si="32"/>
        <v>10</v>
      </c>
      <c r="K120" s="380">
        <f t="shared" si="32"/>
        <v>11</v>
      </c>
      <c r="L120" s="380">
        <f t="shared" si="32"/>
        <v>12</v>
      </c>
      <c r="M120" s="380">
        <f t="shared" si="32"/>
        <v>13</v>
      </c>
      <c r="N120" s="380">
        <f t="shared" si="32"/>
        <v>14</v>
      </c>
      <c r="O120" s="381">
        <f t="shared" si="32"/>
        <v>15</v>
      </c>
      <c r="P120" s="380">
        <f t="shared" si="32"/>
        <v>16</v>
      </c>
      <c r="Q120" s="380">
        <f t="shared" si="32"/>
        <v>17</v>
      </c>
      <c r="R120" s="381">
        <f t="shared" si="32"/>
        <v>18</v>
      </c>
    </row>
    <row r="121" spans="1:18" ht="12.75">
      <c r="A121" s="233"/>
      <c r="B121" s="234">
        <f>'норм. ГВС  (3-1)'!B125</f>
        <v>0</v>
      </c>
      <c r="C121" s="234">
        <f>'норм. ГВС  (3-1)'!C125</f>
        <v>0</v>
      </c>
      <c r="D121" s="383"/>
      <c r="E121" s="383"/>
      <c r="F121" s="384" t="e">
        <f>ROUND(O121/L121,2)</f>
        <v>#DIV/0!</v>
      </c>
      <c r="G121" s="383"/>
      <c r="H121" s="383"/>
      <c r="I121" s="384" t="e">
        <f>ROUND(R121/L121,2)</f>
        <v>#DIV/0!</v>
      </c>
      <c r="J121" s="385" t="e">
        <f>ROUND(I121/F121*100,1)</f>
        <v>#DIV/0!</v>
      </c>
      <c r="K121" s="386">
        <f>'норм. ГВС  (3-1)'!K125</f>
        <v>0</v>
      </c>
      <c r="L121" s="386">
        <f>'норм. ГВС  (3-1)'!L125</f>
        <v>0</v>
      </c>
      <c r="M121" s="387">
        <f aca="true" t="shared" si="33" ref="M121:N123">ROUND(D121*K121,3)</f>
        <v>0</v>
      </c>
      <c r="N121" s="387">
        <f t="shared" si="33"/>
        <v>0</v>
      </c>
      <c r="O121" s="388">
        <f>M121+N121</f>
        <v>0</v>
      </c>
      <c r="P121" s="387">
        <f aca="true" t="shared" si="34" ref="P121:Q123">ROUND(G121*K121,3)</f>
        <v>0</v>
      </c>
      <c r="Q121" s="387">
        <f t="shared" si="34"/>
        <v>0</v>
      </c>
      <c r="R121" s="388">
        <f>P121+Q121</f>
        <v>0</v>
      </c>
    </row>
    <row r="122" spans="1:18" ht="12.75">
      <c r="A122" s="233"/>
      <c r="B122" s="234">
        <f>'норм. ГВС  (3-1)'!B126</f>
        <v>0</v>
      </c>
      <c r="C122" s="234">
        <f>'норм. ГВС  (3-1)'!C126</f>
        <v>0</v>
      </c>
      <c r="D122" s="383"/>
      <c r="E122" s="390"/>
      <c r="F122" s="384" t="e">
        <f>ROUND(O122/L122,2)</f>
        <v>#DIV/0!</v>
      </c>
      <c r="G122" s="383"/>
      <c r="H122" s="390"/>
      <c r="I122" s="384" t="e">
        <f>ROUND(R122/L122,2)</f>
        <v>#DIV/0!</v>
      </c>
      <c r="J122" s="385" t="e">
        <f>ROUND(I122/F122*100,1)</f>
        <v>#DIV/0!</v>
      </c>
      <c r="K122" s="386">
        <f>'норм. ГВС  (3-1)'!K126</f>
        <v>0</v>
      </c>
      <c r="L122" s="386">
        <f>'норм. ГВС  (3-1)'!L126</f>
        <v>0</v>
      </c>
      <c r="M122" s="387">
        <f t="shared" si="33"/>
        <v>0</v>
      </c>
      <c r="N122" s="387">
        <f t="shared" si="33"/>
        <v>0</v>
      </c>
      <c r="O122" s="388">
        <f>M122+N122</f>
        <v>0</v>
      </c>
      <c r="P122" s="387">
        <f t="shared" si="34"/>
        <v>0</v>
      </c>
      <c r="Q122" s="387">
        <f t="shared" si="34"/>
        <v>0</v>
      </c>
      <c r="R122" s="388">
        <f>P122+Q122</f>
        <v>0</v>
      </c>
    </row>
    <row r="123" spans="1:18" ht="12.75">
      <c r="A123" s="233"/>
      <c r="B123" s="234">
        <f>'норм. ГВС  (3-1)'!B127</f>
        <v>0</v>
      </c>
      <c r="C123" s="234">
        <f>'норм. ГВС  (3-1)'!C127</f>
        <v>0</v>
      </c>
      <c r="D123" s="383"/>
      <c r="E123" s="390"/>
      <c r="F123" s="384" t="e">
        <f>ROUND(O123/L123,2)</f>
        <v>#DIV/0!</v>
      </c>
      <c r="G123" s="383"/>
      <c r="H123" s="390"/>
      <c r="I123" s="384" t="e">
        <f>ROUND(R123/L123,2)</f>
        <v>#DIV/0!</v>
      </c>
      <c r="J123" s="385" t="e">
        <f>ROUND(I123/F123*100,1)</f>
        <v>#DIV/0!</v>
      </c>
      <c r="K123" s="386">
        <f>'норм. ГВС  (3-1)'!K127</f>
        <v>0</v>
      </c>
      <c r="L123" s="386">
        <f>'норм. ГВС  (3-1)'!L127</f>
        <v>0</v>
      </c>
      <c r="M123" s="387">
        <f t="shared" si="33"/>
        <v>0</v>
      </c>
      <c r="N123" s="387">
        <f t="shared" si="33"/>
        <v>0</v>
      </c>
      <c r="O123" s="388">
        <f>M123+N123</f>
        <v>0</v>
      </c>
      <c r="P123" s="387">
        <f t="shared" si="34"/>
        <v>0</v>
      </c>
      <c r="Q123" s="387">
        <f t="shared" si="34"/>
        <v>0</v>
      </c>
      <c r="R123" s="388">
        <f>P123+Q123</f>
        <v>0</v>
      </c>
    </row>
    <row r="124" spans="1:18" ht="30.75" customHeight="1">
      <c r="A124" s="891" t="s">
        <v>121</v>
      </c>
      <c r="B124" s="891"/>
      <c r="C124" s="891"/>
      <c r="D124" s="391" t="e">
        <f>ROUND(M124/K124,6)</f>
        <v>#DIV/0!</v>
      </c>
      <c r="E124" s="391" t="e">
        <f>ROUND(N124/L124,6)</f>
        <v>#DIV/0!</v>
      </c>
      <c r="F124" s="290" t="e">
        <f>ROUND(O124/L124,6)</f>
        <v>#DIV/0!</v>
      </c>
      <c r="G124" s="391" t="e">
        <f>ROUND(P124/K124,6)</f>
        <v>#DIV/0!</v>
      </c>
      <c r="H124" s="391" t="e">
        <f>ROUND(Q124/L124,6)</f>
        <v>#DIV/0!</v>
      </c>
      <c r="I124" s="294" t="e">
        <f>ROUND(R124/L124,6)</f>
        <v>#DIV/0!</v>
      </c>
      <c r="J124" s="385" t="e">
        <f>ROUND(I124/F124*100,1)</f>
        <v>#DIV/0!</v>
      </c>
      <c r="K124" s="392">
        <f aca="true" t="shared" si="35" ref="K124:R124">SUM(K121:K123)</f>
        <v>0</v>
      </c>
      <c r="L124" s="392">
        <f t="shared" si="35"/>
        <v>0</v>
      </c>
      <c r="M124" s="393">
        <f t="shared" si="35"/>
        <v>0</v>
      </c>
      <c r="N124" s="393">
        <f t="shared" si="35"/>
        <v>0</v>
      </c>
      <c r="O124" s="393">
        <f t="shared" si="35"/>
        <v>0</v>
      </c>
      <c r="P124" s="393">
        <f t="shared" si="35"/>
        <v>0</v>
      </c>
      <c r="Q124" s="393">
        <f t="shared" si="35"/>
        <v>0</v>
      </c>
      <c r="R124" s="393">
        <f t="shared" si="35"/>
        <v>0</v>
      </c>
    </row>
    <row r="125" spans="1:15" s="366" customFormat="1" ht="15.75">
      <c r="A125" s="395"/>
      <c r="B125" s="360"/>
      <c r="C125" s="360"/>
      <c r="D125" s="395"/>
      <c r="E125" s="395"/>
      <c r="F125" s="396"/>
      <c r="G125" s="272"/>
      <c r="H125" s="272"/>
      <c r="I125" s="272"/>
      <c r="J125" s="272"/>
      <c r="K125" s="272"/>
      <c r="L125" s="272"/>
      <c r="M125" s="395"/>
      <c r="N125" s="395"/>
      <c r="O125" s="395"/>
    </row>
    <row r="126" spans="1:15" s="366" customFormat="1" ht="15.75">
      <c r="A126" s="395"/>
      <c r="B126" s="360"/>
      <c r="C126" s="360"/>
      <c r="D126" s="395"/>
      <c r="E126" s="395"/>
      <c r="F126" s="396"/>
      <c r="G126" s="272"/>
      <c r="H126" s="272"/>
      <c r="I126" s="272"/>
      <c r="J126" s="272"/>
      <c r="K126" s="272"/>
      <c r="L126" s="272"/>
      <c r="M126" s="395"/>
      <c r="N126" s="395"/>
      <c r="O126" s="395"/>
    </row>
    <row r="127" spans="2:6" ht="18.75">
      <c r="B127" s="802" t="s">
        <v>422</v>
      </c>
      <c r="C127" s="803"/>
      <c r="D127" s="803" t="s">
        <v>423</v>
      </c>
      <c r="E127" s="809"/>
      <c r="F127" s="804"/>
    </row>
    <row r="128" spans="2:6" ht="18.75">
      <c r="B128" s="802"/>
      <c r="C128" s="802"/>
      <c r="D128" s="802"/>
      <c r="E128" s="802"/>
      <c r="F128" s="804" t="s">
        <v>97</v>
      </c>
    </row>
    <row r="129" spans="2:6" ht="18.75">
      <c r="B129" s="802" t="s">
        <v>98</v>
      </c>
      <c r="C129" s="803" t="s">
        <v>424</v>
      </c>
      <c r="D129" s="803"/>
      <c r="E129" s="803"/>
      <c r="F129" s="804"/>
    </row>
    <row r="130" spans="2:6" ht="18.75">
      <c r="B130" s="802" t="s">
        <v>421</v>
      </c>
      <c r="C130" s="808" t="s">
        <v>425</v>
      </c>
      <c r="D130" s="807"/>
      <c r="E130" s="807"/>
      <c r="F130" s="804"/>
    </row>
  </sheetData>
  <sheetProtection selectLockedCells="1" selectUnlockedCells="1"/>
  <mergeCells count="150">
    <mergeCell ref="P13:R13"/>
    <mergeCell ref="A3:R3"/>
    <mergeCell ref="I5:K5"/>
    <mergeCell ref="B7:C7"/>
    <mergeCell ref="A11:A14"/>
    <mergeCell ref="B11:B14"/>
    <mergeCell ref="C11:C14"/>
    <mergeCell ref="D11:R11"/>
    <mergeCell ref="D12:F12"/>
    <mergeCell ref="G12:I12"/>
    <mergeCell ref="J12:J14"/>
    <mergeCell ref="A21:C21"/>
    <mergeCell ref="A26:A29"/>
    <mergeCell ref="B26:B29"/>
    <mergeCell ref="C26:C29"/>
    <mergeCell ref="K12:L13"/>
    <mergeCell ref="M12:R12"/>
    <mergeCell ref="D13:D14"/>
    <mergeCell ref="E13:E14"/>
    <mergeCell ref="F13:F14"/>
    <mergeCell ref="G13:G14"/>
    <mergeCell ref="I28:I29"/>
    <mergeCell ref="M28:O28"/>
    <mergeCell ref="H13:H14"/>
    <mergeCell ref="I13:I14"/>
    <mergeCell ref="M13:O13"/>
    <mergeCell ref="P28:R28"/>
    <mergeCell ref="D26:R26"/>
    <mergeCell ref="D27:F27"/>
    <mergeCell ref="G27:I27"/>
    <mergeCell ref="J27:J29"/>
    <mergeCell ref="K27:L28"/>
    <mergeCell ref="M27:R27"/>
    <mergeCell ref="D28:D29"/>
    <mergeCell ref="A35:C35"/>
    <mergeCell ref="B37:C37"/>
    <mergeCell ref="A41:A44"/>
    <mergeCell ref="B41:B44"/>
    <mergeCell ref="C41:C44"/>
    <mergeCell ref="H28:H29"/>
    <mergeCell ref="E28:E29"/>
    <mergeCell ref="F28:F29"/>
    <mergeCell ref="G28:G29"/>
    <mergeCell ref="M43:O43"/>
    <mergeCell ref="P43:R43"/>
    <mergeCell ref="D41:R41"/>
    <mergeCell ref="D42:F42"/>
    <mergeCell ref="G42:I42"/>
    <mergeCell ref="J42:J44"/>
    <mergeCell ref="K42:L43"/>
    <mergeCell ref="M42:R42"/>
    <mergeCell ref="D43:D44"/>
    <mergeCell ref="E43:E44"/>
    <mergeCell ref="A51:C51"/>
    <mergeCell ref="A56:A59"/>
    <mergeCell ref="B56:B59"/>
    <mergeCell ref="C56:C59"/>
    <mergeCell ref="H43:H44"/>
    <mergeCell ref="I43:I44"/>
    <mergeCell ref="F43:F44"/>
    <mergeCell ref="G43:G44"/>
    <mergeCell ref="M58:O58"/>
    <mergeCell ref="P58:R58"/>
    <mergeCell ref="D56:R56"/>
    <mergeCell ref="D57:F57"/>
    <mergeCell ref="G57:I57"/>
    <mergeCell ref="J57:J59"/>
    <mergeCell ref="K57:L58"/>
    <mergeCell ref="M57:R57"/>
    <mergeCell ref="D58:D59"/>
    <mergeCell ref="I58:I59"/>
    <mergeCell ref="A65:C65"/>
    <mergeCell ref="B68:C68"/>
    <mergeCell ref="A71:A74"/>
    <mergeCell ref="B71:B74"/>
    <mergeCell ref="C71:C74"/>
    <mergeCell ref="H58:H59"/>
    <mergeCell ref="E58:E59"/>
    <mergeCell ref="F58:F59"/>
    <mergeCell ref="G58:G59"/>
    <mergeCell ref="M73:O73"/>
    <mergeCell ref="P73:R73"/>
    <mergeCell ref="D71:R71"/>
    <mergeCell ref="D72:F72"/>
    <mergeCell ref="G72:I72"/>
    <mergeCell ref="J72:J74"/>
    <mergeCell ref="K72:L73"/>
    <mergeCell ref="M72:R72"/>
    <mergeCell ref="D73:D74"/>
    <mergeCell ref="E73:E74"/>
    <mergeCell ref="A81:C81"/>
    <mergeCell ref="A86:A89"/>
    <mergeCell ref="B86:B89"/>
    <mergeCell ref="C86:C89"/>
    <mergeCell ref="H73:H74"/>
    <mergeCell ref="I73:I74"/>
    <mergeCell ref="F73:F74"/>
    <mergeCell ref="G73:G74"/>
    <mergeCell ref="M88:O88"/>
    <mergeCell ref="P88:R88"/>
    <mergeCell ref="D86:R86"/>
    <mergeCell ref="D87:F87"/>
    <mergeCell ref="G87:I87"/>
    <mergeCell ref="J87:J89"/>
    <mergeCell ref="K87:L88"/>
    <mergeCell ref="M87:R87"/>
    <mergeCell ref="D88:D89"/>
    <mergeCell ref="I88:I89"/>
    <mergeCell ref="A95:C95"/>
    <mergeCell ref="B97:C97"/>
    <mergeCell ref="A100:A103"/>
    <mergeCell ref="B100:B103"/>
    <mergeCell ref="C100:C103"/>
    <mergeCell ref="H88:H89"/>
    <mergeCell ref="E88:E89"/>
    <mergeCell ref="F88:F89"/>
    <mergeCell ref="G88:G89"/>
    <mergeCell ref="D100:R100"/>
    <mergeCell ref="D101:F101"/>
    <mergeCell ref="G101:I101"/>
    <mergeCell ref="J101:J103"/>
    <mergeCell ref="K101:L102"/>
    <mergeCell ref="M101:R101"/>
    <mergeCell ref="D102:D103"/>
    <mergeCell ref="E102:E103"/>
    <mergeCell ref="D116:F116"/>
    <mergeCell ref="M102:O102"/>
    <mergeCell ref="P102:R102"/>
    <mergeCell ref="H102:H103"/>
    <mergeCell ref="I102:I103"/>
    <mergeCell ref="F102:F103"/>
    <mergeCell ref="G102:G103"/>
    <mergeCell ref="P117:R117"/>
    <mergeCell ref="G116:I116"/>
    <mergeCell ref="J116:J118"/>
    <mergeCell ref="K116:L117"/>
    <mergeCell ref="M116:R116"/>
    <mergeCell ref="A110:C110"/>
    <mergeCell ref="A115:A118"/>
    <mergeCell ref="B115:B118"/>
    <mergeCell ref="C115:C118"/>
    <mergeCell ref="D115:R115"/>
    <mergeCell ref="A124:C124"/>
    <mergeCell ref="H117:H118"/>
    <mergeCell ref="I117:I118"/>
    <mergeCell ref="M117:O117"/>
    <mergeCell ref="G117:G118"/>
    <mergeCell ref="D117:D118"/>
    <mergeCell ref="E117:E118"/>
    <mergeCell ref="F117:F118"/>
  </mergeCells>
  <printOptions verticalCentered="1"/>
  <pageMargins left="0.7875" right="0.19652777777777777" top="0.7083333333333334" bottom="0.9840277777777777" header="0.5118055555555555" footer="0.5118055555555555"/>
  <pageSetup horizontalDpi="300" verticalDpi="300" orientation="landscape" paperSize="9" scale="48" r:id="rId1"/>
  <rowBreaks count="3" manualBreakCount="3">
    <brk id="35" max="255" man="1"/>
    <brk id="65" max="255" man="1"/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T71"/>
  <sheetViews>
    <sheetView view="pageBreakPreview" zoomScale="86" zoomScaleNormal="90" zoomScaleSheetLayoutView="86" zoomScalePageLayoutView="0" workbookViewId="0" topLeftCell="A7">
      <selection activeCell="D32" sqref="D32"/>
    </sheetView>
  </sheetViews>
  <sheetFormatPr defaultColWidth="9.00390625" defaultRowHeight="12.75"/>
  <cols>
    <col min="1" max="1" width="3.625" style="208" customWidth="1"/>
    <col min="2" max="2" width="23.625" style="208" customWidth="1"/>
    <col min="3" max="3" width="19.625" style="208" customWidth="1"/>
    <col min="4" max="4" width="11.375" style="208" customWidth="1"/>
    <col min="5" max="5" width="9.00390625" style="208" customWidth="1"/>
    <col min="6" max="6" width="11.875" style="208" customWidth="1"/>
    <col min="7" max="7" width="11.125" style="208" customWidth="1"/>
    <col min="8" max="8" width="8.75390625" style="208" customWidth="1"/>
    <col min="9" max="9" width="10.375" style="208" customWidth="1"/>
    <col min="10" max="10" width="4.625" style="208" customWidth="1"/>
    <col min="11" max="11" width="11.875" style="208" customWidth="1"/>
    <col min="12" max="12" width="11.125" style="208" customWidth="1"/>
    <col min="13" max="13" width="10.25390625" style="208" customWidth="1"/>
    <col min="14" max="14" width="9.625" style="208" customWidth="1"/>
    <col min="15" max="15" width="10.875" style="208" customWidth="1"/>
    <col min="16" max="16" width="10.00390625" style="208" customWidth="1"/>
    <col min="17" max="17" width="9.625" style="208" customWidth="1"/>
    <col min="18" max="18" width="11.125" style="208" customWidth="1"/>
    <col min="19" max="16384" width="9.125" style="208" customWidth="1"/>
  </cols>
  <sheetData>
    <row r="1" spans="1:17" ht="12.75">
      <c r="A1" s="214" t="s">
        <v>134</v>
      </c>
      <c r="L1" s="208" t="s">
        <v>211</v>
      </c>
      <c r="Q1" s="208" t="s">
        <v>212</v>
      </c>
    </row>
    <row r="2" spans="4:18" ht="15.75"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</row>
    <row r="3" spans="1:20" s="245" customFormat="1" ht="15.75" customHeight="1">
      <c r="A3" s="905" t="s">
        <v>443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369"/>
      <c r="T3" s="369"/>
    </row>
    <row r="4" spans="1:20" s="366" customFormat="1" ht="15.75" customHeight="1">
      <c r="A4" s="397"/>
      <c r="B4" s="920" t="s">
        <v>213</v>
      </c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397"/>
      <c r="S4" s="397"/>
      <c r="T4" s="397"/>
    </row>
    <row r="5" spans="1:20" ht="15.75">
      <c r="A5" s="370"/>
      <c r="B5" s="370"/>
      <c r="C5" s="370"/>
      <c r="D5" s="370"/>
      <c r="E5" s="370"/>
      <c r="F5" s="370"/>
      <c r="G5" s="370"/>
      <c r="H5" s="221"/>
      <c r="I5" s="910"/>
      <c r="J5" s="910"/>
      <c r="K5" s="910"/>
      <c r="L5" s="220"/>
      <c r="M5" s="207"/>
      <c r="N5" s="207"/>
      <c r="O5" s="207"/>
      <c r="P5" s="207"/>
      <c r="Q5" s="370"/>
      <c r="R5" s="370"/>
      <c r="S5" s="370"/>
      <c r="T5" s="370"/>
    </row>
    <row r="6" spans="1:15" ht="15.75" customHeight="1">
      <c r="A6" s="274"/>
      <c r="B6" s="904" t="s">
        <v>136</v>
      </c>
      <c r="C6" s="904"/>
      <c r="D6" s="274"/>
      <c r="E6" s="274"/>
      <c r="F6" s="221"/>
      <c r="G6" s="222"/>
      <c r="H6" s="222"/>
      <c r="I6" s="222"/>
      <c r="J6" s="222"/>
      <c r="K6" s="222"/>
      <c r="L6" s="222"/>
      <c r="M6" s="274"/>
      <c r="N6" s="274"/>
      <c r="O6" s="274"/>
    </row>
    <row r="7" spans="1:15" ht="15.75">
      <c r="A7" s="274"/>
      <c r="B7" s="275" t="s">
        <v>132</v>
      </c>
      <c r="C7" s="275"/>
      <c r="D7" s="274"/>
      <c r="E7" s="274"/>
      <c r="F7" s="221"/>
      <c r="G7" s="222"/>
      <c r="H7" s="222"/>
      <c r="I7" s="222"/>
      <c r="J7" s="222"/>
      <c r="K7" s="222"/>
      <c r="L7" s="222"/>
      <c r="M7" s="274"/>
      <c r="N7" s="274"/>
      <c r="O7" s="274"/>
    </row>
    <row r="8" spans="1:20" ht="15.75">
      <c r="A8" s="370"/>
      <c r="B8" s="398" t="s">
        <v>214</v>
      </c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70"/>
      <c r="P8" s="370"/>
      <c r="Q8" s="370"/>
      <c r="R8" s="370"/>
      <c r="S8" s="370"/>
      <c r="T8" s="370"/>
    </row>
    <row r="9" spans="1:20" ht="10.5" customHeight="1">
      <c r="A9" s="370"/>
      <c r="B9" s="370"/>
      <c r="C9" s="370"/>
      <c r="D9" s="370"/>
      <c r="E9" s="370"/>
      <c r="F9" s="370"/>
      <c r="G9" s="370"/>
      <c r="H9" s="221"/>
      <c r="I9" s="222"/>
      <c r="J9" s="222"/>
      <c r="K9" s="222"/>
      <c r="L9" s="220"/>
      <c r="N9" s="207"/>
      <c r="O9" s="370"/>
      <c r="P9" s="370"/>
      <c r="Q9" s="370"/>
      <c r="R9" s="370"/>
      <c r="S9" s="370"/>
      <c r="T9" s="370"/>
    </row>
    <row r="10" spans="1:18" ht="12.75" customHeight="1">
      <c r="A10" s="889" t="s">
        <v>105</v>
      </c>
      <c r="B10" s="889" t="s">
        <v>188</v>
      </c>
      <c r="C10" s="915" t="s">
        <v>107</v>
      </c>
      <c r="D10" s="917" t="s">
        <v>438</v>
      </c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</row>
    <row r="11" spans="1:18" s="276" customFormat="1" ht="66.75" customHeight="1">
      <c r="A11" s="889"/>
      <c r="B11" s="889"/>
      <c r="C11" s="915"/>
      <c r="D11" s="918" t="s">
        <v>142</v>
      </c>
      <c r="E11" s="918"/>
      <c r="F11" s="918"/>
      <c r="G11" s="913" t="s">
        <v>215</v>
      </c>
      <c r="H11" s="913"/>
      <c r="I11" s="913"/>
      <c r="J11" s="914" t="s">
        <v>189</v>
      </c>
      <c r="K11" s="913" t="s">
        <v>216</v>
      </c>
      <c r="L11" s="913"/>
      <c r="M11" s="913" t="s">
        <v>15</v>
      </c>
      <c r="N11" s="913"/>
      <c r="O11" s="913"/>
      <c r="P11" s="913"/>
      <c r="Q11" s="913"/>
      <c r="R11" s="913"/>
    </row>
    <row r="12" spans="1:18" s="276" customFormat="1" ht="49.5" customHeight="1">
      <c r="A12" s="889"/>
      <c r="B12" s="889"/>
      <c r="C12" s="915"/>
      <c r="D12" s="911" t="s">
        <v>191</v>
      </c>
      <c r="E12" s="911" t="s">
        <v>192</v>
      </c>
      <c r="F12" s="912" t="s">
        <v>217</v>
      </c>
      <c r="G12" s="911" t="s">
        <v>191</v>
      </c>
      <c r="H12" s="911" t="s">
        <v>192</v>
      </c>
      <c r="I12" s="912" t="s">
        <v>218</v>
      </c>
      <c r="J12" s="914"/>
      <c r="K12" s="913"/>
      <c r="L12" s="913"/>
      <c r="M12" s="913" t="s">
        <v>195</v>
      </c>
      <c r="N12" s="913"/>
      <c r="O12" s="913"/>
      <c r="P12" s="913" t="s">
        <v>207</v>
      </c>
      <c r="Q12" s="913"/>
      <c r="R12" s="913"/>
    </row>
    <row r="13" spans="1:18" s="276" customFormat="1" ht="67.5" customHeight="1">
      <c r="A13" s="889"/>
      <c r="B13" s="889"/>
      <c r="C13" s="915"/>
      <c r="D13" s="911"/>
      <c r="E13" s="911"/>
      <c r="F13" s="912"/>
      <c r="G13" s="911"/>
      <c r="H13" s="911"/>
      <c r="I13" s="912"/>
      <c r="J13" s="914"/>
      <c r="K13" s="305" t="s">
        <v>219</v>
      </c>
      <c r="L13" s="305" t="s">
        <v>220</v>
      </c>
      <c r="M13" s="305" t="s">
        <v>221</v>
      </c>
      <c r="N13" s="305" t="s">
        <v>222</v>
      </c>
      <c r="O13" s="375" t="s">
        <v>223</v>
      </c>
      <c r="P13" s="305" t="s">
        <v>224</v>
      </c>
      <c r="Q13" s="305" t="s">
        <v>225</v>
      </c>
      <c r="R13" s="375" t="s">
        <v>226</v>
      </c>
    </row>
    <row r="14" spans="1:18" s="279" customFormat="1" ht="12" customHeight="1">
      <c r="A14" s="280"/>
      <c r="B14" s="280"/>
      <c r="C14" s="280"/>
      <c r="D14" s="376" t="s">
        <v>149</v>
      </c>
      <c r="E14" s="377" t="s">
        <v>205</v>
      </c>
      <c r="F14" s="378" t="s">
        <v>205</v>
      </c>
      <c r="G14" s="377" t="s">
        <v>149</v>
      </c>
      <c r="H14" s="377" t="s">
        <v>205</v>
      </c>
      <c r="I14" s="378" t="s">
        <v>205</v>
      </c>
      <c r="J14" s="377" t="s">
        <v>33</v>
      </c>
      <c r="K14" s="377" t="s">
        <v>42</v>
      </c>
      <c r="L14" s="377" t="s">
        <v>177</v>
      </c>
      <c r="M14" s="377" t="s">
        <v>36</v>
      </c>
      <c r="N14" s="377" t="s">
        <v>36</v>
      </c>
      <c r="O14" s="378" t="s">
        <v>36</v>
      </c>
      <c r="P14" s="377" t="s">
        <v>36</v>
      </c>
      <c r="Q14" s="377" t="s">
        <v>36</v>
      </c>
      <c r="R14" s="378" t="s">
        <v>36</v>
      </c>
    </row>
    <row r="15" spans="1:18" s="382" customFormat="1" ht="12" customHeight="1">
      <c r="A15" s="379">
        <v>1</v>
      </c>
      <c r="B15" s="379">
        <f aca="true" t="shared" si="0" ref="B15:R15">A15+1</f>
        <v>2</v>
      </c>
      <c r="C15" s="379">
        <f t="shared" si="0"/>
        <v>3</v>
      </c>
      <c r="D15" s="379">
        <f t="shared" si="0"/>
        <v>4</v>
      </c>
      <c r="E15" s="380">
        <f t="shared" si="0"/>
        <v>5</v>
      </c>
      <c r="F15" s="381">
        <f t="shared" si="0"/>
        <v>6</v>
      </c>
      <c r="G15" s="380">
        <f t="shared" si="0"/>
        <v>7</v>
      </c>
      <c r="H15" s="380">
        <f t="shared" si="0"/>
        <v>8</v>
      </c>
      <c r="I15" s="381">
        <f t="shared" si="0"/>
        <v>9</v>
      </c>
      <c r="J15" s="380">
        <f t="shared" si="0"/>
        <v>10</v>
      </c>
      <c r="K15" s="380">
        <f t="shared" si="0"/>
        <v>11</v>
      </c>
      <c r="L15" s="380">
        <f t="shared" si="0"/>
        <v>12</v>
      </c>
      <c r="M15" s="380">
        <f t="shared" si="0"/>
        <v>13</v>
      </c>
      <c r="N15" s="380">
        <f t="shared" si="0"/>
        <v>14</v>
      </c>
      <c r="O15" s="380">
        <f t="shared" si="0"/>
        <v>15</v>
      </c>
      <c r="P15" s="380">
        <f t="shared" si="0"/>
        <v>16</v>
      </c>
      <c r="Q15" s="380">
        <f t="shared" si="0"/>
        <v>17</v>
      </c>
      <c r="R15" s="380">
        <f t="shared" si="0"/>
        <v>18</v>
      </c>
    </row>
    <row r="16" spans="1:18" s="389" customFormat="1" ht="12" customHeight="1">
      <c r="A16" s="233">
        <v>1</v>
      </c>
      <c r="B16" s="797" t="str">
        <f>'норм. ГВС  (3-1)'!B16</f>
        <v>п.Рассвет</v>
      </c>
      <c r="C16" s="797" t="str">
        <f>'норм. ГВС  (3-1)'!C16</f>
        <v>ООО «Жилбытсервис»</v>
      </c>
      <c r="D16" s="835">
        <v>2411.05</v>
      </c>
      <c r="E16" s="836">
        <v>50.09</v>
      </c>
      <c r="F16" s="384">
        <f>ROUND(O16/L16,2)</f>
        <v>216.2</v>
      </c>
      <c r="G16" s="284">
        <f aca="true" t="shared" si="1" ref="G16:H18">D16</f>
        <v>2411.05</v>
      </c>
      <c r="H16" s="383">
        <f t="shared" si="1"/>
        <v>50.09</v>
      </c>
      <c r="I16" s="384">
        <f>ROUND(R16/L16,2)</f>
        <v>216.2</v>
      </c>
      <c r="J16" s="385">
        <f>ROUND(I16/F16*100,1)</f>
        <v>100</v>
      </c>
      <c r="K16" s="400">
        <f>'норм. ГВС  (3-1)'!R16</f>
        <v>0.0346</v>
      </c>
      <c r="L16" s="400">
        <f>'норм. ГВС  (3-1)'!S16</f>
        <v>0.5022</v>
      </c>
      <c r="M16" s="401">
        <f aca="true" t="shared" si="2" ref="M16:N19">ROUND(D16*K16,3)</f>
        <v>83.422</v>
      </c>
      <c r="N16" s="401">
        <f t="shared" si="2"/>
        <v>25.155</v>
      </c>
      <c r="O16" s="402">
        <f>M16+N16</f>
        <v>108.577</v>
      </c>
      <c r="P16" s="401">
        <f>ROUND(G16*K16,3)</f>
        <v>83.422</v>
      </c>
      <c r="Q16" s="401">
        <f>ROUND(H16*L16,3)</f>
        <v>25.155</v>
      </c>
      <c r="R16" s="402">
        <f>P16+Q16</f>
        <v>108.577</v>
      </c>
    </row>
    <row r="17" spans="1:18" s="289" customFormat="1" ht="12.75">
      <c r="A17" s="233">
        <v>2</v>
      </c>
      <c r="B17" s="797"/>
      <c r="C17" s="797"/>
      <c r="D17" s="835">
        <v>2411.05</v>
      </c>
      <c r="E17" s="836">
        <v>50.09</v>
      </c>
      <c r="F17" s="384">
        <f>ROUND(O17/L17,2)</f>
        <v>217.42</v>
      </c>
      <c r="G17" s="284">
        <f t="shared" si="1"/>
        <v>2411.05</v>
      </c>
      <c r="H17" s="383">
        <f t="shared" si="1"/>
        <v>50.09</v>
      </c>
      <c r="I17" s="384">
        <f>ROUND(R17/L17,2)</f>
        <v>217.42</v>
      </c>
      <c r="J17" s="385">
        <f>ROUND(I17/F17*100,1)</f>
        <v>100</v>
      </c>
      <c r="K17" s="400">
        <f>'норм. ГВС  (3-1)'!R17</f>
        <v>0.00043</v>
      </c>
      <c r="L17" s="400">
        <f>'норм. ГВС  (3-1)'!S17</f>
        <v>0.0062</v>
      </c>
      <c r="M17" s="401">
        <f t="shared" si="2"/>
        <v>1.037</v>
      </c>
      <c r="N17" s="401">
        <f t="shared" si="2"/>
        <v>0.311</v>
      </c>
      <c r="O17" s="402">
        <f>M17+N17</f>
        <v>1.3479999999999999</v>
      </c>
      <c r="P17" s="401">
        <f>ROUND(G17*K17,3)</f>
        <v>1.037</v>
      </c>
      <c r="Q17" s="401">
        <f>ROUND(H17*L17,3)</f>
        <v>0.311</v>
      </c>
      <c r="R17" s="402">
        <f>P17+Q17</f>
        <v>1.3479999999999999</v>
      </c>
    </row>
    <row r="18" spans="1:18" s="289" customFormat="1" ht="12.75">
      <c r="A18" s="233">
        <v>3</v>
      </c>
      <c r="B18" s="797"/>
      <c r="C18" s="797"/>
      <c r="D18" s="835">
        <v>2411.05</v>
      </c>
      <c r="E18" s="836">
        <v>50.09</v>
      </c>
      <c r="F18" s="384">
        <f>ROUND(O18/L18,2)</f>
        <v>216.21</v>
      </c>
      <c r="G18" s="284">
        <f t="shared" si="1"/>
        <v>2411.05</v>
      </c>
      <c r="H18" s="383">
        <f t="shared" si="1"/>
        <v>50.09</v>
      </c>
      <c r="I18" s="384">
        <f>ROUND(R18/L18,2)</f>
        <v>216.21</v>
      </c>
      <c r="J18" s="385">
        <f>ROUND(I18/F18*100,1)</f>
        <v>100</v>
      </c>
      <c r="K18" s="400">
        <f>'норм. ГВС  (3-1)'!R20</f>
        <v>12.38245</v>
      </c>
      <c r="L18" s="400">
        <f>'норм. ГВС  (3-1)'!S20</f>
        <v>179.71625</v>
      </c>
      <c r="M18" s="401">
        <f t="shared" si="2"/>
        <v>29854.706</v>
      </c>
      <c r="N18" s="401">
        <f t="shared" si="2"/>
        <v>9001.987</v>
      </c>
      <c r="O18" s="402">
        <f>M18+N18</f>
        <v>38856.693</v>
      </c>
      <c r="P18" s="401">
        <f>ROUND(G18*K18,3)</f>
        <v>29854.706</v>
      </c>
      <c r="Q18" s="401">
        <f>H18*L18</f>
        <v>9001.986962500001</v>
      </c>
      <c r="R18" s="402">
        <f>P18+Q18</f>
        <v>38856.6929625</v>
      </c>
    </row>
    <row r="19" spans="1:18" s="289" customFormat="1" ht="12.75">
      <c r="A19" s="233">
        <v>4</v>
      </c>
      <c r="B19" s="797"/>
      <c r="C19" s="797"/>
      <c r="D19" s="383"/>
      <c r="E19" s="390"/>
      <c r="F19" s="384" t="e">
        <f>ROUND(O19/L19,2)</f>
        <v>#DIV/0!</v>
      </c>
      <c r="G19" s="383"/>
      <c r="H19" s="390"/>
      <c r="I19" s="384" t="e">
        <f>ROUND(R19/L19,2)</f>
        <v>#DIV/0!</v>
      </c>
      <c r="J19" s="385" t="e">
        <f>ROUND(I19/F19*100,1)</f>
        <v>#DIV/0!</v>
      </c>
      <c r="K19" s="400"/>
      <c r="L19" s="400"/>
      <c r="M19" s="401">
        <f t="shared" si="2"/>
        <v>0</v>
      </c>
      <c r="N19" s="401">
        <f t="shared" si="2"/>
        <v>0</v>
      </c>
      <c r="O19" s="402">
        <f>M19+N19</f>
        <v>0</v>
      </c>
      <c r="P19" s="401">
        <f>ROUND(G19*K19,3)</f>
        <v>0</v>
      </c>
      <c r="Q19" s="401">
        <f>H19*L19</f>
        <v>0</v>
      </c>
      <c r="R19" s="402">
        <f>P19+Q19</f>
        <v>0</v>
      </c>
    </row>
    <row r="20" spans="1:18" ht="34.5" customHeight="1">
      <c r="A20" s="891" t="s">
        <v>227</v>
      </c>
      <c r="B20" s="891"/>
      <c r="C20" s="891"/>
      <c r="D20" s="391">
        <f>ROUND(M20/K20,6)</f>
        <v>2411.049988</v>
      </c>
      <c r="E20" s="391">
        <f>ROUND(N20/L20,6)</f>
        <v>50.090002</v>
      </c>
      <c r="F20" s="290">
        <f>ROUND(O20/L20,6)</f>
        <v>216.211367</v>
      </c>
      <c r="G20" s="391">
        <f>ROUND(P20/K20,6)</f>
        <v>2411.049988</v>
      </c>
      <c r="H20" s="391">
        <f>ROUND(Q20/L20,6)</f>
        <v>50.090001</v>
      </c>
      <c r="I20" s="294">
        <f>ROUND(R20/L20,6)</f>
        <v>216.211367</v>
      </c>
      <c r="J20" s="385">
        <f>ROUND(I20/F20*100,1)</f>
        <v>100</v>
      </c>
      <c r="K20" s="391">
        <f aca="true" t="shared" si="3" ref="K20:R20">SUM(K16:K19)</f>
        <v>12.417480000000001</v>
      </c>
      <c r="L20" s="391">
        <f t="shared" si="3"/>
        <v>180.22465</v>
      </c>
      <c r="M20" s="404">
        <f t="shared" si="3"/>
        <v>29939.164999999997</v>
      </c>
      <c r="N20" s="404">
        <f t="shared" si="3"/>
        <v>9027.453</v>
      </c>
      <c r="O20" s="293">
        <f t="shared" si="3"/>
        <v>38966.618</v>
      </c>
      <c r="P20" s="404">
        <f t="shared" si="3"/>
        <v>29939.164999999997</v>
      </c>
      <c r="Q20" s="404">
        <f t="shared" si="3"/>
        <v>9027.452962500001</v>
      </c>
      <c r="R20" s="293">
        <f t="shared" si="3"/>
        <v>38966.6179625</v>
      </c>
    </row>
    <row r="21" spans="1:2" ht="12.75">
      <c r="A21" s="246"/>
      <c r="B21" s="246"/>
    </row>
    <row r="22" spans="1:2" ht="12.75">
      <c r="A22" s="246"/>
      <c r="B22" s="246"/>
    </row>
    <row r="23" spans="1:2" ht="14.25">
      <c r="A23" s="246"/>
      <c r="B23" s="405" t="s">
        <v>228</v>
      </c>
    </row>
    <row r="24" spans="1:2" ht="12.75">
      <c r="A24" s="246"/>
      <c r="B24" s="246"/>
    </row>
    <row r="26" spans="1:18" ht="12.75" customHeight="1">
      <c r="A26" s="889" t="s">
        <v>105</v>
      </c>
      <c r="B26" s="889" t="s">
        <v>229</v>
      </c>
      <c r="C26" s="915" t="s">
        <v>107</v>
      </c>
      <c r="D26" s="917" t="s">
        <v>438</v>
      </c>
      <c r="E26" s="917"/>
      <c r="F26" s="917"/>
      <c r="G26" s="917"/>
      <c r="H26" s="917"/>
      <c r="I26" s="917"/>
      <c r="J26" s="917"/>
      <c r="K26" s="917"/>
      <c r="L26" s="917"/>
      <c r="M26" s="917"/>
      <c r="N26" s="917"/>
      <c r="O26" s="917"/>
      <c r="P26" s="917"/>
      <c r="Q26" s="917"/>
      <c r="R26" s="917"/>
    </row>
    <row r="27" spans="1:18" ht="68.25" customHeight="1">
      <c r="A27" s="889"/>
      <c r="B27" s="889"/>
      <c r="C27" s="915"/>
      <c r="D27" s="918" t="s">
        <v>142</v>
      </c>
      <c r="E27" s="918"/>
      <c r="F27" s="918"/>
      <c r="G27" s="913" t="s">
        <v>230</v>
      </c>
      <c r="H27" s="913"/>
      <c r="I27" s="913"/>
      <c r="J27" s="914" t="s">
        <v>189</v>
      </c>
      <c r="K27" s="913" t="s">
        <v>216</v>
      </c>
      <c r="L27" s="913"/>
      <c r="M27" s="913" t="s">
        <v>15</v>
      </c>
      <c r="N27" s="913"/>
      <c r="O27" s="913"/>
      <c r="P27" s="913"/>
      <c r="Q27" s="913"/>
      <c r="R27" s="913"/>
    </row>
    <row r="28" spans="1:18" ht="51.75" customHeight="1">
      <c r="A28" s="889"/>
      <c r="B28" s="889"/>
      <c r="C28" s="915"/>
      <c r="D28" s="911" t="s">
        <v>191</v>
      </c>
      <c r="E28" s="911" t="s">
        <v>192</v>
      </c>
      <c r="F28" s="912" t="s">
        <v>231</v>
      </c>
      <c r="G28" s="911" t="s">
        <v>191</v>
      </c>
      <c r="H28" s="911" t="s">
        <v>192</v>
      </c>
      <c r="I28" s="912" t="s">
        <v>218</v>
      </c>
      <c r="J28" s="914"/>
      <c r="K28" s="913"/>
      <c r="L28" s="913"/>
      <c r="M28" s="913" t="s">
        <v>195</v>
      </c>
      <c r="N28" s="913"/>
      <c r="O28" s="913"/>
      <c r="P28" s="913" t="s">
        <v>207</v>
      </c>
      <c r="Q28" s="913"/>
      <c r="R28" s="913"/>
    </row>
    <row r="29" spans="1:18" ht="78" customHeight="1">
      <c r="A29" s="889"/>
      <c r="B29" s="889"/>
      <c r="C29" s="915"/>
      <c r="D29" s="911"/>
      <c r="E29" s="911"/>
      <c r="F29" s="912"/>
      <c r="G29" s="911"/>
      <c r="H29" s="911"/>
      <c r="I29" s="912"/>
      <c r="J29" s="914"/>
      <c r="K29" s="305" t="s">
        <v>232</v>
      </c>
      <c r="L29" s="305" t="s">
        <v>233</v>
      </c>
      <c r="M29" s="305" t="s">
        <v>221</v>
      </c>
      <c r="N29" s="305" t="s">
        <v>222</v>
      </c>
      <c r="O29" s="375" t="s">
        <v>223</v>
      </c>
      <c r="P29" s="305" t="s">
        <v>224</v>
      </c>
      <c r="Q29" s="305" t="s">
        <v>225</v>
      </c>
      <c r="R29" s="375" t="s">
        <v>226</v>
      </c>
    </row>
    <row r="30" spans="1:18" ht="12.75">
      <c r="A30" s="280"/>
      <c r="B30" s="280"/>
      <c r="C30" s="280"/>
      <c r="D30" s="376" t="s">
        <v>149</v>
      </c>
      <c r="E30" s="377" t="s">
        <v>205</v>
      </c>
      <c r="F30" s="378" t="s">
        <v>205</v>
      </c>
      <c r="G30" s="377" t="s">
        <v>149</v>
      </c>
      <c r="H30" s="377" t="s">
        <v>205</v>
      </c>
      <c r="I30" s="378" t="s">
        <v>205</v>
      </c>
      <c r="J30" s="377" t="s">
        <v>33</v>
      </c>
      <c r="K30" s="377" t="s">
        <v>42</v>
      </c>
      <c r="L30" s="377" t="s">
        <v>177</v>
      </c>
      <c r="M30" s="377" t="s">
        <v>36</v>
      </c>
      <c r="N30" s="377" t="s">
        <v>36</v>
      </c>
      <c r="O30" s="378" t="s">
        <v>36</v>
      </c>
      <c r="P30" s="377" t="s">
        <v>36</v>
      </c>
      <c r="Q30" s="377" t="s">
        <v>36</v>
      </c>
      <c r="R30" s="378" t="s">
        <v>36</v>
      </c>
    </row>
    <row r="31" spans="1:18" ht="12.75">
      <c r="A31" s="379">
        <v>1</v>
      </c>
      <c r="B31" s="379">
        <f aca="true" t="shared" si="4" ref="B31:R31">A31+1</f>
        <v>2</v>
      </c>
      <c r="C31" s="379">
        <f t="shared" si="4"/>
        <v>3</v>
      </c>
      <c r="D31" s="379">
        <f t="shared" si="4"/>
        <v>4</v>
      </c>
      <c r="E31" s="380">
        <f t="shared" si="4"/>
        <v>5</v>
      </c>
      <c r="F31" s="381">
        <f t="shared" si="4"/>
        <v>6</v>
      </c>
      <c r="G31" s="380">
        <f t="shared" si="4"/>
        <v>7</v>
      </c>
      <c r="H31" s="380">
        <f t="shared" si="4"/>
        <v>8</v>
      </c>
      <c r="I31" s="381">
        <f t="shared" si="4"/>
        <v>9</v>
      </c>
      <c r="J31" s="380">
        <f t="shared" si="4"/>
        <v>10</v>
      </c>
      <c r="K31" s="380">
        <f t="shared" si="4"/>
        <v>11</v>
      </c>
      <c r="L31" s="380">
        <f t="shared" si="4"/>
        <v>12</v>
      </c>
      <c r="M31" s="380">
        <f t="shared" si="4"/>
        <v>13</v>
      </c>
      <c r="N31" s="380">
        <f t="shared" si="4"/>
        <v>14</v>
      </c>
      <c r="O31" s="380">
        <f t="shared" si="4"/>
        <v>15</v>
      </c>
      <c r="P31" s="380">
        <f t="shared" si="4"/>
        <v>16</v>
      </c>
      <c r="Q31" s="380">
        <f t="shared" si="4"/>
        <v>17</v>
      </c>
      <c r="R31" s="380">
        <f t="shared" si="4"/>
        <v>18</v>
      </c>
    </row>
    <row r="32" spans="1:18" ht="12.75">
      <c r="A32" s="233"/>
      <c r="B32" s="234">
        <f>'норм. ГВС  (3-1)'!B33</f>
        <v>0</v>
      </c>
      <c r="C32" s="234">
        <f>'норм. ГВС  (3-1)'!C33</f>
        <v>0</v>
      </c>
      <c r="D32" s="383"/>
      <c r="E32" s="383"/>
      <c r="F32" s="384" t="e">
        <f>ROUND(O32/L32,2)</f>
        <v>#DIV/0!</v>
      </c>
      <c r="G32" s="383"/>
      <c r="H32" s="383"/>
      <c r="I32" s="384" t="e">
        <f>ROUND(R32/L32,2)</f>
        <v>#DIV/0!</v>
      </c>
      <c r="J32" s="385" t="e">
        <f>ROUND(I32/F32*100,1)</f>
        <v>#DIV/0!</v>
      </c>
      <c r="K32" s="400">
        <f>'норм. ГВС  (3-1)'!R33</f>
        <v>0</v>
      </c>
      <c r="L32" s="400">
        <f>'норм. ГВС  (3-1)'!S33</f>
        <v>0</v>
      </c>
      <c r="M32" s="401">
        <f aca="true" t="shared" si="5" ref="M32:N34">ROUND(D32*K32,3)</f>
        <v>0</v>
      </c>
      <c r="N32" s="401">
        <f t="shared" si="5"/>
        <v>0</v>
      </c>
      <c r="O32" s="402">
        <f>M32+N32</f>
        <v>0</v>
      </c>
      <c r="P32" s="401">
        <f aca="true" t="shared" si="6" ref="P32:Q34">ROUND(G32*K32,3)</f>
        <v>0</v>
      </c>
      <c r="Q32" s="401">
        <f t="shared" si="6"/>
        <v>0</v>
      </c>
      <c r="R32" s="402">
        <f>P32+Q32</f>
        <v>0</v>
      </c>
    </row>
    <row r="33" spans="1:18" ht="12.75">
      <c r="A33" s="233"/>
      <c r="B33" s="234">
        <f>'норм. ГВС  (3-1)'!B34</f>
        <v>0</v>
      </c>
      <c r="C33" s="234">
        <f>'норм. ГВС  (3-1)'!C34</f>
        <v>0</v>
      </c>
      <c r="D33" s="383"/>
      <c r="E33" s="390"/>
      <c r="F33" s="384" t="e">
        <f>ROUND(O33/L33,2)</f>
        <v>#DIV/0!</v>
      </c>
      <c r="G33" s="383"/>
      <c r="H33" s="390"/>
      <c r="I33" s="384" t="e">
        <f>ROUND(R33/L33,2)</f>
        <v>#DIV/0!</v>
      </c>
      <c r="J33" s="385" t="e">
        <f>ROUND(I33/F33*100,1)</f>
        <v>#DIV/0!</v>
      </c>
      <c r="K33" s="400">
        <f>'норм. ГВС  (3-1)'!R34</f>
        <v>0</v>
      </c>
      <c r="L33" s="400">
        <f>'норм. ГВС  (3-1)'!S34</f>
        <v>0</v>
      </c>
      <c r="M33" s="401">
        <f t="shared" si="5"/>
        <v>0</v>
      </c>
      <c r="N33" s="401">
        <f t="shared" si="5"/>
        <v>0</v>
      </c>
      <c r="O33" s="402">
        <f>M33+N33</f>
        <v>0</v>
      </c>
      <c r="P33" s="401">
        <f t="shared" si="6"/>
        <v>0</v>
      </c>
      <c r="Q33" s="401">
        <f t="shared" si="6"/>
        <v>0</v>
      </c>
      <c r="R33" s="402">
        <f>P33+Q33</f>
        <v>0</v>
      </c>
    </row>
    <row r="34" spans="1:18" ht="12.75">
      <c r="A34" s="233"/>
      <c r="B34" s="234">
        <f>'норм. ГВС  (3-1)'!B35</f>
        <v>0</v>
      </c>
      <c r="C34" s="234">
        <f>'норм. ГВС  (3-1)'!C35</f>
        <v>0</v>
      </c>
      <c r="D34" s="383"/>
      <c r="E34" s="390"/>
      <c r="F34" s="384" t="e">
        <f>ROUND(O34/L34,2)</f>
        <v>#DIV/0!</v>
      </c>
      <c r="G34" s="383"/>
      <c r="H34" s="390"/>
      <c r="I34" s="384" t="e">
        <f>ROUND(R34/L34,2)</f>
        <v>#DIV/0!</v>
      </c>
      <c r="J34" s="385" t="e">
        <f>ROUND(I34/F34*100,1)</f>
        <v>#DIV/0!</v>
      </c>
      <c r="K34" s="400">
        <f>'норм. ГВС  (3-1)'!R35</f>
        <v>0</v>
      </c>
      <c r="L34" s="400">
        <f>'норм. ГВС  (3-1)'!S35</f>
        <v>0</v>
      </c>
      <c r="M34" s="401">
        <f t="shared" si="5"/>
        <v>0</v>
      </c>
      <c r="N34" s="401">
        <f t="shared" si="5"/>
        <v>0</v>
      </c>
      <c r="O34" s="402">
        <f>M34+N34</f>
        <v>0</v>
      </c>
      <c r="P34" s="401">
        <f t="shared" si="6"/>
        <v>0</v>
      </c>
      <c r="Q34" s="401">
        <f t="shared" si="6"/>
        <v>0</v>
      </c>
      <c r="R34" s="402">
        <f>P34+Q34</f>
        <v>0</v>
      </c>
    </row>
    <row r="35" spans="1:18" ht="31.5" customHeight="1">
      <c r="A35" s="891" t="s">
        <v>121</v>
      </c>
      <c r="B35" s="891"/>
      <c r="C35" s="891"/>
      <c r="D35" s="404" t="e">
        <f>ROUND(M35/K35,6)</f>
        <v>#DIV/0!</v>
      </c>
      <c r="E35" s="391" t="e">
        <f>ROUND(N35/L35,6)</f>
        <v>#DIV/0!</v>
      </c>
      <c r="F35" s="290" t="e">
        <f>ROUND(O35/L35,6)</f>
        <v>#DIV/0!</v>
      </c>
      <c r="G35" s="404" t="e">
        <f>ROUND(P35/K35,6)</f>
        <v>#DIV/0!</v>
      </c>
      <c r="H35" s="391" t="e">
        <f>ROUND(Q35/L35,6)</f>
        <v>#DIV/0!</v>
      </c>
      <c r="I35" s="294" t="e">
        <f>ROUND(R35/L35,6)</f>
        <v>#DIV/0!</v>
      </c>
      <c r="J35" s="385" t="e">
        <f>ROUND(I35/F35*100,1)</f>
        <v>#DIV/0!</v>
      </c>
      <c r="K35" s="391">
        <f aca="true" t="shared" si="7" ref="K35:R35">SUM(K32:K34)</f>
        <v>0</v>
      </c>
      <c r="L35" s="391">
        <f t="shared" si="7"/>
        <v>0</v>
      </c>
      <c r="M35" s="404">
        <f t="shared" si="7"/>
        <v>0</v>
      </c>
      <c r="N35" s="404">
        <f t="shared" si="7"/>
        <v>0</v>
      </c>
      <c r="O35" s="293">
        <f t="shared" si="7"/>
        <v>0</v>
      </c>
      <c r="P35" s="404">
        <f t="shared" si="7"/>
        <v>0</v>
      </c>
      <c r="Q35" s="404">
        <f t="shared" si="7"/>
        <v>0</v>
      </c>
      <c r="R35" s="293">
        <f t="shared" si="7"/>
        <v>0</v>
      </c>
    </row>
    <row r="37" spans="1:15" ht="15.75" customHeight="1">
      <c r="A37" s="274"/>
      <c r="B37" s="904" t="s">
        <v>136</v>
      </c>
      <c r="C37" s="904"/>
      <c r="D37" s="274"/>
      <c r="E37" s="274"/>
      <c r="F37" s="221"/>
      <c r="G37" s="222"/>
      <c r="H37" s="222"/>
      <c r="I37" s="222"/>
      <c r="J37" s="222"/>
      <c r="K37" s="222"/>
      <c r="L37" s="222"/>
      <c r="M37" s="274"/>
      <c r="N37" s="274"/>
      <c r="O37" s="274"/>
    </row>
    <row r="38" spans="1:15" ht="15.75">
      <c r="A38" s="274"/>
      <c r="B38" s="275" t="s">
        <v>128</v>
      </c>
      <c r="C38" s="275"/>
      <c r="D38" s="274"/>
      <c r="E38" s="274"/>
      <c r="F38" s="221"/>
      <c r="G38" s="222"/>
      <c r="H38" s="222"/>
      <c r="I38" s="222"/>
      <c r="J38" s="222"/>
      <c r="K38" s="222"/>
      <c r="L38" s="222"/>
      <c r="M38" s="274"/>
      <c r="N38" s="274"/>
      <c r="O38" s="274"/>
    </row>
    <row r="39" spans="1:20" ht="15.75">
      <c r="A39" s="370"/>
      <c r="B39" s="398" t="s">
        <v>214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70"/>
      <c r="P39" s="370"/>
      <c r="Q39" s="370"/>
      <c r="R39" s="370"/>
      <c r="S39" s="370"/>
      <c r="T39" s="370"/>
    </row>
    <row r="40" spans="1:20" ht="10.5" customHeight="1">
      <c r="A40" s="370"/>
      <c r="B40" s="370"/>
      <c r="C40" s="370"/>
      <c r="D40" s="370"/>
      <c r="E40" s="370"/>
      <c r="F40" s="370"/>
      <c r="G40" s="370"/>
      <c r="H40" s="221"/>
      <c r="I40" s="222"/>
      <c r="J40" s="222"/>
      <c r="K40" s="222"/>
      <c r="L40" s="220"/>
      <c r="N40" s="207"/>
      <c r="O40" s="370"/>
      <c r="P40" s="370"/>
      <c r="Q40" s="370"/>
      <c r="R40" s="370"/>
      <c r="S40" s="370"/>
      <c r="T40" s="370"/>
    </row>
    <row r="41" spans="1:18" ht="12.75" customHeight="1">
      <c r="A41" s="889" t="s">
        <v>105</v>
      </c>
      <c r="B41" s="889" t="s">
        <v>188</v>
      </c>
      <c r="C41" s="915" t="s">
        <v>107</v>
      </c>
      <c r="D41" s="917" t="s">
        <v>439</v>
      </c>
      <c r="E41" s="917"/>
      <c r="F41" s="917"/>
      <c r="G41" s="917"/>
      <c r="H41" s="917"/>
      <c r="I41" s="917"/>
      <c r="J41" s="917"/>
      <c r="K41" s="917"/>
      <c r="L41" s="917"/>
      <c r="M41" s="917"/>
      <c r="N41" s="917"/>
      <c r="O41" s="917"/>
      <c r="P41" s="917"/>
      <c r="Q41" s="917"/>
      <c r="R41" s="917"/>
    </row>
    <row r="42" spans="1:18" s="276" customFormat="1" ht="66.75" customHeight="1">
      <c r="A42" s="889"/>
      <c r="B42" s="889"/>
      <c r="C42" s="915"/>
      <c r="D42" s="918" t="s">
        <v>142</v>
      </c>
      <c r="E42" s="918"/>
      <c r="F42" s="918"/>
      <c r="G42" s="913" t="s">
        <v>215</v>
      </c>
      <c r="H42" s="913"/>
      <c r="I42" s="913"/>
      <c r="J42" s="914" t="s">
        <v>189</v>
      </c>
      <c r="K42" s="913" t="s">
        <v>216</v>
      </c>
      <c r="L42" s="913"/>
      <c r="M42" s="913" t="s">
        <v>15</v>
      </c>
      <c r="N42" s="913"/>
      <c r="O42" s="913"/>
      <c r="P42" s="913"/>
      <c r="Q42" s="913"/>
      <c r="R42" s="913"/>
    </row>
    <row r="43" spans="1:18" s="276" customFormat="1" ht="49.5" customHeight="1">
      <c r="A43" s="889"/>
      <c r="B43" s="889"/>
      <c r="C43" s="915"/>
      <c r="D43" s="911" t="s">
        <v>191</v>
      </c>
      <c r="E43" s="911" t="s">
        <v>192</v>
      </c>
      <c r="F43" s="912" t="s">
        <v>217</v>
      </c>
      <c r="G43" s="911" t="s">
        <v>191</v>
      </c>
      <c r="H43" s="911" t="s">
        <v>192</v>
      </c>
      <c r="I43" s="912" t="s">
        <v>218</v>
      </c>
      <c r="J43" s="914"/>
      <c r="K43" s="913"/>
      <c r="L43" s="913"/>
      <c r="M43" s="913" t="s">
        <v>195</v>
      </c>
      <c r="N43" s="913"/>
      <c r="O43" s="913"/>
      <c r="P43" s="913" t="s">
        <v>207</v>
      </c>
      <c r="Q43" s="913"/>
      <c r="R43" s="913"/>
    </row>
    <row r="44" spans="1:18" s="276" customFormat="1" ht="67.5" customHeight="1">
      <c r="A44" s="889"/>
      <c r="B44" s="889"/>
      <c r="C44" s="915"/>
      <c r="D44" s="911"/>
      <c r="E44" s="911"/>
      <c r="F44" s="912"/>
      <c r="G44" s="911"/>
      <c r="H44" s="911"/>
      <c r="I44" s="912"/>
      <c r="J44" s="914"/>
      <c r="K44" s="305" t="s">
        <v>219</v>
      </c>
      <c r="L44" s="305" t="s">
        <v>220</v>
      </c>
      <c r="M44" s="305" t="s">
        <v>221</v>
      </c>
      <c r="N44" s="305" t="s">
        <v>222</v>
      </c>
      <c r="O44" s="375" t="s">
        <v>223</v>
      </c>
      <c r="P44" s="305" t="s">
        <v>224</v>
      </c>
      <c r="Q44" s="305" t="s">
        <v>225</v>
      </c>
      <c r="R44" s="375" t="s">
        <v>226</v>
      </c>
    </row>
    <row r="45" spans="1:18" s="279" customFormat="1" ht="12" customHeight="1">
      <c r="A45" s="280"/>
      <c r="B45" s="280"/>
      <c r="C45" s="280"/>
      <c r="D45" s="376" t="s">
        <v>149</v>
      </c>
      <c r="E45" s="377" t="s">
        <v>205</v>
      </c>
      <c r="F45" s="378" t="s">
        <v>205</v>
      </c>
      <c r="G45" s="377" t="s">
        <v>149</v>
      </c>
      <c r="H45" s="377" t="s">
        <v>205</v>
      </c>
      <c r="I45" s="378" t="s">
        <v>205</v>
      </c>
      <c r="J45" s="377" t="s">
        <v>33</v>
      </c>
      <c r="K45" s="377" t="s">
        <v>42</v>
      </c>
      <c r="L45" s="377" t="s">
        <v>177</v>
      </c>
      <c r="M45" s="377" t="s">
        <v>36</v>
      </c>
      <c r="N45" s="377" t="s">
        <v>36</v>
      </c>
      <c r="O45" s="378" t="s">
        <v>36</v>
      </c>
      <c r="P45" s="377" t="s">
        <v>36</v>
      </c>
      <c r="Q45" s="377" t="s">
        <v>36</v>
      </c>
      <c r="R45" s="378" t="s">
        <v>36</v>
      </c>
    </row>
    <row r="46" spans="1:18" s="382" customFormat="1" ht="12" customHeight="1">
      <c r="A46" s="379">
        <v>1</v>
      </c>
      <c r="B46" s="379">
        <f aca="true" t="shared" si="8" ref="B46:R46">A46+1</f>
        <v>2</v>
      </c>
      <c r="C46" s="379">
        <f t="shared" si="8"/>
        <v>3</v>
      </c>
      <c r="D46" s="379">
        <f t="shared" si="8"/>
        <v>4</v>
      </c>
      <c r="E46" s="380">
        <f t="shared" si="8"/>
        <v>5</v>
      </c>
      <c r="F46" s="381">
        <f t="shared" si="8"/>
        <v>6</v>
      </c>
      <c r="G46" s="380">
        <f t="shared" si="8"/>
        <v>7</v>
      </c>
      <c r="H46" s="380">
        <f t="shared" si="8"/>
        <v>8</v>
      </c>
      <c r="I46" s="381">
        <f t="shared" si="8"/>
        <v>9</v>
      </c>
      <c r="J46" s="380">
        <f t="shared" si="8"/>
        <v>10</v>
      </c>
      <c r="K46" s="380">
        <f t="shared" si="8"/>
        <v>11</v>
      </c>
      <c r="L46" s="380">
        <f t="shared" si="8"/>
        <v>12</v>
      </c>
      <c r="M46" s="380">
        <f t="shared" si="8"/>
        <v>13</v>
      </c>
      <c r="N46" s="380">
        <f t="shared" si="8"/>
        <v>14</v>
      </c>
      <c r="O46" s="380">
        <f t="shared" si="8"/>
        <v>15</v>
      </c>
      <c r="P46" s="380">
        <f t="shared" si="8"/>
        <v>16</v>
      </c>
      <c r="Q46" s="380">
        <f t="shared" si="8"/>
        <v>17</v>
      </c>
      <c r="R46" s="380">
        <f t="shared" si="8"/>
        <v>18</v>
      </c>
    </row>
    <row r="47" spans="1:18" s="389" customFormat="1" ht="12" customHeight="1">
      <c r="A47" s="233">
        <v>1</v>
      </c>
      <c r="B47" s="234" t="s">
        <v>119</v>
      </c>
      <c r="C47" s="234" t="s">
        <v>420</v>
      </c>
      <c r="D47" s="835">
        <v>2411.05</v>
      </c>
      <c r="E47" s="836">
        <v>50.09</v>
      </c>
      <c r="F47" s="384" t="e">
        <f>ROUND(O47/L47,2)</f>
        <v>#DIV/0!</v>
      </c>
      <c r="G47" s="835">
        <v>2411.05</v>
      </c>
      <c r="H47" s="836">
        <v>50.09</v>
      </c>
      <c r="I47" s="384" t="e">
        <f>ROUND(R47/L47,2)</f>
        <v>#DIV/0!</v>
      </c>
      <c r="J47" s="385" t="e">
        <f>ROUND(I47/F47*100,1)</f>
        <v>#DIV/0!</v>
      </c>
      <c r="K47" s="400"/>
      <c r="L47" s="400"/>
      <c r="M47" s="401">
        <f aca="true" t="shared" si="9" ref="M47:N50">ROUND(D47*K47,3)</f>
        <v>0</v>
      </c>
      <c r="N47" s="401">
        <f t="shared" si="9"/>
        <v>0</v>
      </c>
      <c r="O47" s="402">
        <f>M47+N47</f>
        <v>0</v>
      </c>
      <c r="P47" s="401">
        <f>ROUND(G47*K47,3)</f>
        <v>0</v>
      </c>
      <c r="Q47" s="401">
        <f>ROUND(H47*L47,3)</f>
        <v>0</v>
      </c>
      <c r="R47" s="402">
        <f>P47+Q47</f>
        <v>0</v>
      </c>
    </row>
    <row r="48" spans="1:18" s="289" customFormat="1" ht="12.75">
      <c r="A48" s="233">
        <v>2</v>
      </c>
      <c r="B48" s="234"/>
      <c r="C48" s="234"/>
      <c r="D48" s="835">
        <v>2411.05</v>
      </c>
      <c r="E48" s="836">
        <v>50.09</v>
      </c>
      <c r="F48" s="384" t="e">
        <f>ROUND(O48/L48,2)</f>
        <v>#DIV/0!</v>
      </c>
      <c r="G48" s="835">
        <v>2411.05</v>
      </c>
      <c r="H48" s="836">
        <v>50.09</v>
      </c>
      <c r="I48" s="384" t="e">
        <f>ROUND(R48/L48,2)</f>
        <v>#DIV/0!</v>
      </c>
      <c r="J48" s="385" t="e">
        <f>ROUND(I48/F48*100,1)</f>
        <v>#DIV/0!</v>
      </c>
      <c r="K48" s="400"/>
      <c r="L48" s="400"/>
      <c r="M48" s="401">
        <f t="shared" si="9"/>
        <v>0</v>
      </c>
      <c r="N48" s="401">
        <f t="shared" si="9"/>
        <v>0</v>
      </c>
      <c r="O48" s="402">
        <f>M48+N48</f>
        <v>0</v>
      </c>
      <c r="P48" s="401">
        <f>ROUND(G48*K48,3)</f>
        <v>0</v>
      </c>
      <c r="Q48" s="401">
        <f>ROUND(H48*L48,3)</f>
        <v>0</v>
      </c>
      <c r="R48" s="402">
        <f>P48+Q48</f>
        <v>0</v>
      </c>
    </row>
    <row r="49" spans="1:18" s="289" customFormat="1" ht="12.75">
      <c r="A49" s="233">
        <v>3</v>
      </c>
      <c r="B49" s="234"/>
      <c r="C49" s="234"/>
      <c r="D49" s="835">
        <v>2411.05</v>
      </c>
      <c r="E49" s="836">
        <v>50.09</v>
      </c>
      <c r="F49" s="384" t="e">
        <f>ROUND(O49/L49,2)</f>
        <v>#DIV/0!</v>
      </c>
      <c r="G49" s="835">
        <v>2411.05</v>
      </c>
      <c r="H49" s="836">
        <v>50.09</v>
      </c>
      <c r="I49" s="384" t="e">
        <f>ROUND(R49/L49,2)</f>
        <v>#DIV/0!</v>
      </c>
      <c r="J49" s="385" t="e">
        <f>ROUND(I49/F49*100,1)</f>
        <v>#DIV/0!</v>
      </c>
      <c r="K49" s="400"/>
      <c r="L49" s="400"/>
      <c r="M49" s="401">
        <f t="shared" si="9"/>
        <v>0</v>
      </c>
      <c r="N49" s="401">
        <f t="shared" si="9"/>
        <v>0</v>
      </c>
      <c r="O49" s="402">
        <f>M49+N49</f>
        <v>0</v>
      </c>
      <c r="P49" s="401">
        <f>ROUND(G49*K49,3)</f>
        <v>0</v>
      </c>
      <c r="Q49" s="401">
        <f>H49*L49</f>
        <v>0</v>
      </c>
      <c r="R49" s="402">
        <f>P49+Q49</f>
        <v>0</v>
      </c>
    </row>
    <row r="50" spans="1:18" s="289" customFormat="1" ht="12.75">
      <c r="A50" s="233">
        <v>4</v>
      </c>
      <c r="B50" s="234"/>
      <c r="C50" s="234"/>
      <c r="D50" s="383"/>
      <c r="E50" s="390"/>
      <c r="F50" s="384" t="e">
        <f>ROUND(O50/L50,2)</f>
        <v>#DIV/0!</v>
      </c>
      <c r="G50" s="383"/>
      <c r="H50" s="390"/>
      <c r="I50" s="384" t="e">
        <f>ROUND(R50/L50,2)</f>
        <v>#DIV/0!</v>
      </c>
      <c r="J50" s="385" t="e">
        <f>ROUND(I50/F50*100,1)</f>
        <v>#DIV/0!</v>
      </c>
      <c r="K50" s="400"/>
      <c r="L50" s="400"/>
      <c r="M50" s="401">
        <f t="shared" si="9"/>
        <v>0</v>
      </c>
      <c r="N50" s="401">
        <f t="shared" si="9"/>
        <v>0</v>
      </c>
      <c r="O50" s="402">
        <f>M50+N50</f>
        <v>0</v>
      </c>
      <c r="P50" s="401">
        <f>ROUND(G50*K50,3)</f>
        <v>0</v>
      </c>
      <c r="Q50" s="401">
        <f>H50*L50</f>
        <v>0</v>
      </c>
      <c r="R50" s="402">
        <f>P50+Q50</f>
        <v>0</v>
      </c>
    </row>
    <row r="51" spans="1:18" ht="34.5" customHeight="1">
      <c r="A51" s="891" t="s">
        <v>227</v>
      </c>
      <c r="B51" s="891"/>
      <c r="C51" s="891"/>
      <c r="D51" s="391" t="e">
        <f>ROUND(M51/K51,6)</f>
        <v>#DIV/0!</v>
      </c>
      <c r="E51" s="391" t="e">
        <f>ROUND(N51/L51,6)</f>
        <v>#DIV/0!</v>
      </c>
      <c r="F51" s="290" t="e">
        <f>ROUND(O51/L51,6)</f>
        <v>#DIV/0!</v>
      </c>
      <c r="G51" s="391" t="e">
        <f>ROUND(P51/K51,6)</f>
        <v>#DIV/0!</v>
      </c>
      <c r="H51" s="391" t="e">
        <f>ROUND(Q51/L51,6)</f>
        <v>#DIV/0!</v>
      </c>
      <c r="I51" s="294" t="e">
        <f>ROUND(R51/L51,6)</f>
        <v>#DIV/0!</v>
      </c>
      <c r="J51" s="385" t="e">
        <f>ROUND(I51/F51*100,1)</f>
        <v>#DIV/0!</v>
      </c>
      <c r="K51" s="391">
        <f aca="true" t="shared" si="10" ref="K51:R51">SUM(K47:K50)</f>
        <v>0</v>
      </c>
      <c r="L51" s="391">
        <f t="shared" si="10"/>
        <v>0</v>
      </c>
      <c r="M51" s="404">
        <f t="shared" si="10"/>
        <v>0</v>
      </c>
      <c r="N51" s="404">
        <f t="shared" si="10"/>
        <v>0</v>
      </c>
      <c r="O51" s="293">
        <f t="shared" si="10"/>
        <v>0</v>
      </c>
      <c r="P51" s="404">
        <f t="shared" si="10"/>
        <v>0</v>
      </c>
      <c r="Q51" s="404">
        <f t="shared" si="10"/>
        <v>0</v>
      </c>
      <c r="R51" s="293">
        <f t="shared" si="10"/>
        <v>0</v>
      </c>
    </row>
    <row r="52" spans="1:2" ht="12.75">
      <c r="A52" s="246"/>
      <c r="B52" s="246"/>
    </row>
    <row r="53" spans="1:2" ht="12.75">
      <c r="A53" s="246"/>
      <c r="B53" s="246"/>
    </row>
    <row r="54" spans="1:2" ht="14.25">
      <c r="A54" s="246"/>
      <c r="B54" s="405" t="s">
        <v>228</v>
      </c>
    </row>
    <row r="55" spans="1:2" ht="12.75">
      <c r="A55" s="246"/>
      <c r="B55" s="246"/>
    </row>
    <row r="57" spans="1:18" ht="12.75" customHeight="1">
      <c r="A57" s="889" t="s">
        <v>105</v>
      </c>
      <c r="B57" s="889" t="s">
        <v>229</v>
      </c>
      <c r="C57" s="915" t="s">
        <v>107</v>
      </c>
      <c r="D57" s="917" t="s">
        <v>439</v>
      </c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</row>
    <row r="58" spans="1:18" ht="68.25" customHeight="1">
      <c r="A58" s="889"/>
      <c r="B58" s="889"/>
      <c r="C58" s="915"/>
      <c r="D58" s="918" t="s">
        <v>142</v>
      </c>
      <c r="E58" s="918"/>
      <c r="F58" s="918"/>
      <c r="G58" s="913" t="s">
        <v>230</v>
      </c>
      <c r="H58" s="913"/>
      <c r="I58" s="913"/>
      <c r="J58" s="914" t="s">
        <v>189</v>
      </c>
      <c r="K58" s="913" t="s">
        <v>216</v>
      </c>
      <c r="L58" s="913"/>
      <c r="M58" s="913" t="s">
        <v>15</v>
      </c>
      <c r="N58" s="913"/>
      <c r="O58" s="913"/>
      <c r="P58" s="913"/>
      <c r="Q58" s="913"/>
      <c r="R58" s="913"/>
    </row>
    <row r="59" spans="1:18" ht="51.75" customHeight="1">
      <c r="A59" s="889"/>
      <c r="B59" s="889"/>
      <c r="C59" s="915"/>
      <c r="D59" s="911" t="s">
        <v>191</v>
      </c>
      <c r="E59" s="911" t="s">
        <v>192</v>
      </c>
      <c r="F59" s="912" t="s">
        <v>231</v>
      </c>
      <c r="G59" s="911" t="s">
        <v>191</v>
      </c>
      <c r="H59" s="911" t="s">
        <v>192</v>
      </c>
      <c r="I59" s="912" t="s">
        <v>218</v>
      </c>
      <c r="J59" s="914"/>
      <c r="K59" s="913"/>
      <c r="L59" s="913"/>
      <c r="M59" s="913" t="s">
        <v>195</v>
      </c>
      <c r="N59" s="913"/>
      <c r="O59" s="913"/>
      <c r="P59" s="913" t="s">
        <v>207</v>
      </c>
      <c r="Q59" s="913"/>
      <c r="R59" s="913"/>
    </row>
    <row r="60" spans="1:18" ht="78" customHeight="1">
      <c r="A60" s="889"/>
      <c r="B60" s="889"/>
      <c r="C60" s="915"/>
      <c r="D60" s="911"/>
      <c r="E60" s="911"/>
      <c r="F60" s="912"/>
      <c r="G60" s="911"/>
      <c r="H60" s="911"/>
      <c r="I60" s="912"/>
      <c r="J60" s="914"/>
      <c r="K60" s="305" t="s">
        <v>232</v>
      </c>
      <c r="L60" s="305" t="s">
        <v>233</v>
      </c>
      <c r="M60" s="305" t="s">
        <v>221</v>
      </c>
      <c r="N60" s="305" t="s">
        <v>222</v>
      </c>
      <c r="O60" s="375" t="s">
        <v>223</v>
      </c>
      <c r="P60" s="305" t="s">
        <v>224</v>
      </c>
      <c r="Q60" s="305" t="s">
        <v>225</v>
      </c>
      <c r="R60" s="375" t="s">
        <v>226</v>
      </c>
    </row>
    <row r="61" spans="1:18" ht="12.75">
      <c r="A61" s="280"/>
      <c r="B61" s="280"/>
      <c r="C61" s="280"/>
      <c r="D61" s="376" t="s">
        <v>149</v>
      </c>
      <c r="E61" s="377" t="s">
        <v>205</v>
      </c>
      <c r="F61" s="378" t="s">
        <v>205</v>
      </c>
      <c r="G61" s="377" t="s">
        <v>149</v>
      </c>
      <c r="H61" s="377" t="s">
        <v>205</v>
      </c>
      <c r="I61" s="378" t="s">
        <v>205</v>
      </c>
      <c r="J61" s="377" t="s">
        <v>33</v>
      </c>
      <c r="K61" s="377" t="s">
        <v>42</v>
      </c>
      <c r="L61" s="377" t="s">
        <v>177</v>
      </c>
      <c r="M61" s="377" t="s">
        <v>36</v>
      </c>
      <c r="N61" s="377" t="s">
        <v>36</v>
      </c>
      <c r="O61" s="378" t="s">
        <v>36</v>
      </c>
      <c r="P61" s="377" t="s">
        <v>36</v>
      </c>
      <c r="Q61" s="377" t="s">
        <v>36</v>
      </c>
      <c r="R61" s="378" t="s">
        <v>36</v>
      </c>
    </row>
    <row r="62" spans="1:18" ht="12.75">
      <c r="A62" s="379">
        <v>1</v>
      </c>
      <c r="B62" s="379">
        <f aca="true" t="shared" si="11" ref="B62:R62">A62+1</f>
        <v>2</v>
      </c>
      <c r="C62" s="379">
        <f t="shared" si="11"/>
        <v>3</v>
      </c>
      <c r="D62" s="379">
        <f t="shared" si="11"/>
        <v>4</v>
      </c>
      <c r="E62" s="380">
        <f t="shared" si="11"/>
        <v>5</v>
      </c>
      <c r="F62" s="381">
        <f t="shared" si="11"/>
        <v>6</v>
      </c>
      <c r="G62" s="380">
        <f t="shared" si="11"/>
        <v>7</v>
      </c>
      <c r="H62" s="380">
        <f t="shared" si="11"/>
        <v>8</v>
      </c>
      <c r="I62" s="381">
        <f t="shared" si="11"/>
        <v>9</v>
      </c>
      <c r="J62" s="380">
        <f t="shared" si="11"/>
        <v>10</v>
      </c>
      <c r="K62" s="380">
        <f t="shared" si="11"/>
        <v>11</v>
      </c>
      <c r="L62" s="380">
        <f t="shared" si="11"/>
        <v>12</v>
      </c>
      <c r="M62" s="380">
        <f t="shared" si="11"/>
        <v>13</v>
      </c>
      <c r="N62" s="380">
        <f t="shared" si="11"/>
        <v>14</v>
      </c>
      <c r="O62" s="380">
        <f t="shared" si="11"/>
        <v>15</v>
      </c>
      <c r="P62" s="380">
        <f t="shared" si="11"/>
        <v>16</v>
      </c>
      <c r="Q62" s="380">
        <f t="shared" si="11"/>
        <v>17</v>
      </c>
      <c r="R62" s="380">
        <f t="shared" si="11"/>
        <v>18</v>
      </c>
    </row>
    <row r="63" spans="1:18" ht="12.75">
      <c r="A63" s="233"/>
      <c r="B63" s="234">
        <v>0</v>
      </c>
      <c r="C63" s="234">
        <v>0</v>
      </c>
      <c r="D63" s="383">
        <v>0</v>
      </c>
      <c r="E63" s="383">
        <v>0</v>
      </c>
      <c r="F63" s="384" t="e">
        <f>ROUND(O63/L63,2)</f>
        <v>#DIV/0!</v>
      </c>
      <c r="G63" s="383">
        <v>0</v>
      </c>
      <c r="H63" s="383">
        <v>0</v>
      </c>
      <c r="I63" s="384" t="e">
        <f>ROUND(R63/L63,2)</f>
        <v>#DIV/0!</v>
      </c>
      <c r="J63" s="385" t="e">
        <f>ROUND(I63/F63*100,1)</f>
        <v>#DIV/0!</v>
      </c>
      <c r="K63" s="400">
        <v>0</v>
      </c>
      <c r="L63" s="400">
        <v>0</v>
      </c>
      <c r="M63" s="401">
        <f aca="true" t="shared" si="12" ref="M63:N65">ROUND(D63*K63,3)</f>
        <v>0</v>
      </c>
      <c r="N63" s="401">
        <f t="shared" si="12"/>
        <v>0</v>
      </c>
      <c r="O63" s="402">
        <f>M63+N63</f>
        <v>0</v>
      </c>
      <c r="P63" s="401">
        <f aca="true" t="shared" si="13" ref="P63:Q65">ROUND(G63*K63,3)</f>
        <v>0</v>
      </c>
      <c r="Q63" s="401">
        <f t="shared" si="13"/>
        <v>0</v>
      </c>
      <c r="R63" s="402">
        <f>P63+Q63</f>
        <v>0</v>
      </c>
    </row>
    <row r="64" spans="1:18" ht="12.75">
      <c r="A64" s="233"/>
      <c r="B64" s="234">
        <f>'норм. ГВС  (3-1)'!B64</f>
        <v>0</v>
      </c>
      <c r="C64" s="234">
        <f>'норм. ГВС  (3-1)'!C64</f>
        <v>0</v>
      </c>
      <c r="D64" s="383">
        <v>0</v>
      </c>
      <c r="E64" s="390">
        <v>0</v>
      </c>
      <c r="F64" s="384" t="e">
        <f>ROUND(O64/L64,2)</f>
        <v>#DIV/0!</v>
      </c>
      <c r="G64" s="383">
        <v>0</v>
      </c>
      <c r="H64" s="390">
        <v>0</v>
      </c>
      <c r="I64" s="384" t="e">
        <f>ROUND(R64/L64,2)</f>
        <v>#DIV/0!</v>
      </c>
      <c r="J64" s="385" t="e">
        <f>ROUND(I64/F64*100,1)</f>
        <v>#DIV/0!</v>
      </c>
      <c r="K64" s="400">
        <f>'норм. ГВС  (3-1)'!R64</f>
        <v>0</v>
      </c>
      <c r="L64" s="400">
        <f>'норм. ГВС  (3-1)'!S64</f>
        <v>0</v>
      </c>
      <c r="M64" s="401">
        <f t="shared" si="12"/>
        <v>0</v>
      </c>
      <c r="N64" s="401">
        <f t="shared" si="12"/>
        <v>0</v>
      </c>
      <c r="O64" s="402">
        <f>M64+N64</f>
        <v>0</v>
      </c>
      <c r="P64" s="401">
        <f t="shared" si="13"/>
        <v>0</v>
      </c>
      <c r="Q64" s="401">
        <f t="shared" si="13"/>
        <v>0</v>
      </c>
      <c r="R64" s="402">
        <f>P64+Q64</f>
        <v>0</v>
      </c>
    </row>
    <row r="65" spans="1:18" ht="12.75">
      <c r="A65" s="233"/>
      <c r="B65" s="234">
        <f>'норм. ГВС  (3-1)'!B65</f>
        <v>0</v>
      </c>
      <c r="C65" s="234">
        <f>'норм. ГВС  (3-1)'!C65</f>
        <v>0</v>
      </c>
      <c r="D65" s="383"/>
      <c r="E65" s="390"/>
      <c r="F65" s="384" t="e">
        <f>ROUND(O65/L65,2)</f>
        <v>#DIV/0!</v>
      </c>
      <c r="G65" s="383"/>
      <c r="H65" s="390"/>
      <c r="I65" s="384" t="e">
        <f>ROUND(R65/L65,2)</f>
        <v>#DIV/0!</v>
      </c>
      <c r="J65" s="385" t="e">
        <f>ROUND(I65/F65*100,1)</f>
        <v>#DIV/0!</v>
      </c>
      <c r="K65" s="400">
        <f>'норм. ГВС  (3-1)'!R65</f>
        <v>0</v>
      </c>
      <c r="L65" s="400">
        <f>'норм. ГВС  (3-1)'!S65</f>
        <v>0</v>
      </c>
      <c r="M65" s="401">
        <f t="shared" si="12"/>
        <v>0</v>
      </c>
      <c r="N65" s="401">
        <f t="shared" si="12"/>
        <v>0</v>
      </c>
      <c r="O65" s="402">
        <f>M65+N65</f>
        <v>0</v>
      </c>
      <c r="P65" s="401">
        <f t="shared" si="13"/>
        <v>0</v>
      </c>
      <c r="Q65" s="401">
        <f t="shared" si="13"/>
        <v>0</v>
      </c>
      <c r="R65" s="402">
        <f>P65+Q65</f>
        <v>0</v>
      </c>
    </row>
    <row r="66" spans="1:18" ht="31.5" customHeight="1">
      <c r="A66" s="891" t="s">
        <v>121</v>
      </c>
      <c r="B66" s="891"/>
      <c r="C66" s="891"/>
      <c r="D66" s="404" t="e">
        <f>ROUND(M66/K66,6)</f>
        <v>#DIV/0!</v>
      </c>
      <c r="E66" s="391" t="e">
        <f>ROUND(N66/L66,6)</f>
        <v>#DIV/0!</v>
      </c>
      <c r="F66" s="290" t="e">
        <f>ROUND(O66/L66,6)</f>
        <v>#DIV/0!</v>
      </c>
      <c r="G66" s="404" t="e">
        <f>ROUND(P66/K66,6)</f>
        <v>#DIV/0!</v>
      </c>
      <c r="H66" s="391" t="e">
        <f>ROUND(Q66/L66,6)</f>
        <v>#DIV/0!</v>
      </c>
      <c r="I66" s="294" t="e">
        <f>ROUND(R66/L66,6)</f>
        <v>#DIV/0!</v>
      </c>
      <c r="J66" s="385" t="e">
        <f>ROUND(I66/F66*100,1)</f>
        <v>#DIV/0!</v>
      </c>
      <c r="K66" s="391">
        <f aca="true" t="shared" si="14" ref="K66:R66">SUM(K63:K65)</f>
        <v>0</v>
      </c>
      <c r="L66" s="391">
        <f t="shared" si="14"/>
        <v>0</v>
      </c>
      <c r="M66" s="404">
        <f t="shared" si="14"/>
        <v>0</v>
      </c>
      <c r="N66" s="404">
        <f t="shared" si="14"/>
        <v>0</v>
      </c>
      <c r="O66" s="293">
        <f t="shared" si="14"/>
        <v>0</v>
      </c>
      <c r="P66" s="404">
        <f t="shared" si="14"/>
        <v>0</v>
      </c>
      <c r="Q66" s="404">
        <f t="shared" si="14"/>
        <v>0</v>
      </c>
      <c r="R66" s="293">
        <f t="shared" si="14"/>
        <v>0</v>
      </c>
    </row>
    <row r="68" spans="2:6" ht="18.75">
      <c r="B68" s="802" t="s">
        <v>422</v>
      </c>
      <c r="C68" s="803"/>
      <c r="D68" s="803" t="s">
        <v>423</v>
      </c>
      <c r="E68" s="809"/>
      <c r="F68" s="804"/>
    </row>
    <row r="69" spans="2:6" ht="18.75">
      <c r="B69" s="802"/>
      <c r="C69" s="802"/>
      <c r="D69" s="802"/>
      <c r="E69" s="802"/>
      <c r="F69" s="804" t="s">
        <v>97</v>
      </c>
    </row>
    <row r="70" spans="2:6" ht="18.75">
      <c r="B70" s="802" t="s">
        <v>98</v>
      </c>
      <c r="C70" s="803" t="s">
        <v>424</v>
      </c>
      <c r="D70" s="803"/>
      <c r="E70" s="803"/>
      <c r="F70" s="804"/>
    </row>
    <row r="71" spans="2:6" ht="18.75">
      <c r="B71" s="802" t="s">
        <v>421</v>
      </c>
      <c r="C71" s="808" t="s">
        <v>425</v>
      </c>
      <c r="D71" s="807"/>
      <c r="E71" s="807"/>
      <c r="F71" s="804"/>
    </row>
  </sheetData>
  <sheetProtection selectLockedCells="1" selectUnlockedCells="1"/>
  <mergeCells count="78">
    <mergeCell ref="B6:C6"/>
    <mergeCell ref="A10:A13"/>
    <mergeCell ref="B10:B13"/>
    <mergeCell ref="C10:C13"/>
    <mergeCell ref="D2:R2"/>
    <mergeCell ref="A3:R3"/>
    <mergeCell ref="B4:Q4"/>
    <mergeCell ref="I5:K5"/>
    <mergeCell ref="D10:R10"/>
    <mergeCell ref="D11:F11"/>
    <mergeCell ref="G11:I11"/>
    <mergeCell ref="J11:J13"/>
    <mergeCell ref="K11:L12"/>
    <mergeCell ref="M11:R11"/>
    <mergeCell ref="D12:D13"/>
    <mergeCell ref="E12:E13"/>
    <mergeCell ref="M12:O12"/>
    <mergeCell ref="P12:R12"/>
    <mergeCell ref="A20:C20"/>
    <mergeCell ref="A26:A29"/>
    <mergeCell ref="B26:B29"/>
    <mergeCell ref="C26:C29"/>
    <mergeCell ref="H12:H13"/>
    <mergeCell ref="I12:I13"/>
    <mergeCell ref="F12:F13"/>
    <mergeCell ref="G12:G13"/>
    <mergeCell ref="M28:O28"/>
    <mergeCell ref="P28:R28"/>
    <mergeCell ref="D26:R26"/>
    <mergeCell ref="D27:F27"/>
    <mergeCell ref="G27:I27"/>
    <mergeCell ref="J27:J29"/>
    <mergeCell ref="K27:L28"/>
    <mergeCell ref="M27:R27"/>
    <mergeCell ref="D28:D29"/>
    <mergeCell ref="I28:I29"/>
    <mergeCell ref="A35:C35"/>
    <mergeCell ref="B37:C37"/>
    <mergeCell ref="A41:A44"/>
    <mergeCell ref="B41:B44"/>
    <mergeCell ref="C41:C44"/>
    <mergeCell ref="H28:H29"/>
    <mergeCell ref="E28:E29"/>
    <mergeCell ref="F28:F29"/>
    <mergeCell ref="G28:G29"/>
    <mergeCell ref="D41:R41"/>
    <mergeCell ref="D42:F42"/>
    <mergeCell ref="G42:I42"/>
    <mergeCell ref="J42:J44"/>
    <mergeCell ref="K42:L43"/>
    <mergeCell ref="M42:R42"/>
    <mergeCell ref="D43:D44"/>
    <mergeCell ref="E43:E44"/>
    <mergeCell ref="D58:F58"/>
    <mergeCell ref="M43:O43"/>
    <mergeCell ref="P43:R43"/>
    <mergeCell ref="H43:H44"/>
    <mergeCell ref="I43:I44"/>
    <mergeCell ref="F43:F44"/>
    <mergeCell ref="G43:G44"/>
    <mergeCell ref="P59:R59"/>
    <mergeCell ref="G58:I58"/>
    <mergeCell ref="J58:J60"/>
    <mergeCell ref="K58:L59"/>
    <mergeCell ref="M58:R58"/>
    <mergeCell ref="A51:C51"/>
    <mergeCell ref="A57:A60"/>
    <mergeCell ref="B57:B60"/>
    <mergeCell ref="C57:C60"/>
    <mergeCell ref="D57:R57"/>
    <mergeCell ref="A66:C66"/>
    <mergeCell ref="H59:H60"/>
    <mergeCell ref="I59:I60"/>
    <mergeCell ref="M59:O59"/>
    <mergeCell ref="G59:G60"/>
    <mergeCell ref="D59:D60"/>
    <mergeCell ref="E59:E60"/>
    <mergeCell ref="F59:F60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1:T67"/>
  <sheetViews>
    <sheetView zoomScale="90" zoomScaleNormal="90" zoomScaleSheetLayoutView="86" zoomScalePageLayoutView="0" workbookViewId="0" topLeftCell="A1">
      <selection activeCell="K45" sqref="K45"/>
    </sheetView>
  </sheetViews>
  <sheetFormatPr defaultColWidth="9.00390625" defaultRowHeight="12.75"/>
  <cols>
    <col min="1" max="1" width="3.625" style="208" customWidth="1"/>
    <col min="2" max="2" width="22.625" style="208" customWidth="1"/>
    <col min="3" max="3" width="19.25390625" style="208" customWidth="1"/>
    <col min="4" max="4" width="12.125" style="208" customWidth="1"/>
    <col min="5" max="5" width="10.25390625" style="208" customWidth="1"/>
    <col min="6" max="6" width="11.75390625" style="208" customWidth="1"/>
    <col min="7" max="7" width="10.75390625" style="208" customWidth="1"/>
    <col min="8" max="8" width="10.125" style="208" customWidth="1"/>
    <col min="9" max="9" width="10.375" style="208" customWidth="1"/>
    <col min="10" max="10" width="5.25390625" style="208" customWidth="1"/>
    <col min="11" max="11" width="13.375" style="208" customWidth="1"/>
    <col min="12" max="12" width="11.625" style="208" customWidth="1"/>
    <col min="13" max="13" width="10.25390625" style="208" customWidth="1"/>
    <col min="14" max="14" width="9.625" style="208" customWidth="1"/>
    <col min="15" max="15" width="10.875" style="208" customWidth="1"/>
    <col min="16" max="16" width="10.00390625" style="208" customWidth="1"/>
    <col min="17" max="17" width="9.625" style="208" customWidth="1"/>
    <col min="18" max="18" width="11.00390625" style="208" customWidth="1"/>
    <col min="19" max="19" width="13.125" style="208" customWidth="1"/>
    <col min="20" max="20" width="12.375" style="208" customWidth="1"/>
    <col min="21" max="16384" width="9.125" style="208" customWidth="1"/>
  </cols>
  <sheetData>
    <row r="1" spans="1:17" ht="12.75">
      <c r="A1" s="214" t="s">
        <v>134</v>
      </c>
      <c r="Q1" s="208" t="s">
        <v>234</v>
      </c>
    </row>
    <row r="2" spans="4:18" ht="15.75"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</row>
    <row r="3" spans="1:20" s="407" customFormat="1" ht="15.75" customHeight="1">
      <c r="A3" s="905" t="s">
        <v>444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406"/>
      <c r="T3" s="406"/>
    </row>
    <row r="4" spans="1:20" s="366" customFormat="1" ht="15.75" customHeight="1">
      <c r="A4" s="397"/>
      <c r="B4" s="920" t="s">
        <v>213</v>
      </c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397"/>
      <c r="S4" s="397"/>
      <c r="T4" s="397"/>
    </row>
    <row r="5" spans="1:20" s="366" customFormat="1" ht="15.75">
      <c r="A5" s="397"/>
      <c r="B5" s="296" t="s">
        <v>157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</row>
    <row r="6" spans="1:13" ht="15.75">
      <c r="A6" s="274"/>
      <c r="B6" s="296" t="s">
        <v>128</v>
      </c>
      <c r="C6" s="296"/>
      <c r="D6" s="274"/>
      <c r="E6" s="274"/>
      <c r="F6" s="221"/>
      <c r="G6" s="222"/>
      <c r="H6" s="222"/>
      <c r="I6" s="222"/>
      <c r="J6" s="222"/>
      <c r="K6" s="274"/>
      <c r="L6" s="274"/>
      <c r="M6" s="274"/>
    </row>
    <row r="7" spans="1:20" ht="20.25" customHeight="1">
      <c r="A7" s="370"/>
      <c r="B7" s="398" t="s">
        <v>104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70"/>
      <c r="Q7" s="370"/>
      <c r="R7" s="370"/>
      <c r="S7" s="370"/>
      <c r="T7" s="370"/>
    </row>
    <row r="8" spans="1:20" ht="17.25" customHeight="1">
      <c r="A8" s="370"/>
      <c r="B8" s="370"/>
      <c r="C8" s="370"/>
      <c r="D8" s="370"/>
      <c r="E8" s="370"/>
      <c r="F8" s="370"/>
      <c r="G8" s="301"/>
      <c r="H8" s="301"/>
      <c r="I8" s="222"/>
      <c r="J8" s="222"/>
      <c r="K8" s="222"/>
      <c r="L8" s="220"/>
      <c r="N8" s="207"/>
      <c r="O8" s="370"/>
      <c r="P8" s="370"/>
      <c r="Q8" s="370"/>
      <c r="R8" s="370"/>
      <c r="S8" s="370"/>
      <c r="T8" s="370"/>
    </row>
    <row r="9" spans="1:18" ht="12.75" customHeight="1">
      <c r="A9" s="889" t="s">
        <v>105</v>
      </c>
      <c r="B9" s="889" t="s">
        <v>188</v>
      </c>
      <c r="C9" s="889" t="s">
        <v>107</v>
      </c>
      <c r="D9" s="921" t="s">
        <v>435</v>
      </c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</row>
    <row r="10" spans="1:18" s="276" customFormat="1" ht="66.75" customHeight="1">
      <c r="A10" s="889"/>
      <c r="B10" s="889"/>
      <c r="C10" s="889"/>
      <c r="D10" s="918" t="s">
        <v>142</v>
      </c>
      <c r="E10" s="918"/>
      <c r="F10" s="918"/>
      <c r="G10" s="913" t="s">
        <v>143</v>
      </c>
      <c r="H10" s="913"/>
      <c r="I10" s="913"/>
      <c r="J10" s="914" t="s">
        <v>235</v>
      </c>
      <c r="K10" s="913" t="s">
        <v>216</v>
      </c>
      <c r="L10" s="913"/>
      <c r="M10" s="913" t="s">
        <v>15</v>
      </c>
      <c r="N10" s="913"/>
      <c r="O10" s="913"/>
      <c r="P10" s="913"/>
      <c r="Q10" s="913"/>
      <c r="R10" s="913"/>
    </row>
    <row r="11" spans="1:18" s="276" customFormat="1" ht="49.5" customHeight="1">
      <c r="A11" s="889"/>
      <c r="B11" s="889"/>
      <c r="C11" s="889"/>
      <c r="D11" s="911" t="s">
        <v>191</v>
      </c>
      <c r="E11" s="911" t="s">
        <v>192</v>
      </c>
      <c r="F11" s="912" t="s">
        <v>231</v>
      </c>
      <c r="G11" s="911" t="s">
        <v>191</v>
      </c>
      <c r="H11" s="911" t="s">
        <v>192</v>
      </c>
      <c r="I11" s="912" t="s">
        <v>218</v>
      </c>
      <c r="J11" s="914"/>
      <c r="K11" s="913"/>
      <c r="L11" s="913"/>
      <c r="M11" s="913" t="s">
        <v>195</v>
      </c>
      <c r="N11" s="913"/>
      <c r="O11" s="913"/>
      <c r="P11" s="922" t="s">
        <v>207</v>
      </c>
      <c r="Q11" s="922"/>
      <c r="R11" s="922"/>
    </row>
    <row r="12" spans="1:18" s="276" customFormat="1" ht="63.75" customHeight="1">
      <c r="A12" s="889"/>
      <c r="B12" s="889"/>
      <c r="C12" s="889"/>
      <c r="D12" s="911"/>
      <c r="E12" s="911"/>
      <c r="F12" s="912"/>
      <c r="G12" s="911"/>
      <c r="H12" s="911"/>
      <c r="I12" s="912"/>
      <c r="J12" s="914"/>
      <c r="K12" s="305" t="s">
        <v>219</v>
      </c>
      <c r="L12" s="305" t="s">
        <v>220</v>
      </c>
      <c r="M12" s="305" t="s">
        <v>199</v>
      </c>
      <c r="N12" s="305" t="s">
        <v>200</v>
      </c>
      <c r="O12" s="375" t="s">
        <v>201</v>
      </c>
      <c r="P12" s="305" t="s">
        <v>202</v>
      </c>
      <c r="Q12" s="305" t="s">
        <v>203</v>
      </c>
      <c r="R12" s="375" t="s">
        <v>204</v>
      </c>
    </row>
    <row r="13" spans="1:18" s="279" customFormat="1" ht="12" customHeight="1">
      <c r="A13" s="280"/>
      <c r="B13" s="280"/>
      <c r="C13" s="280"/>
      <c r="D13" s="376" t="s">
        <v>149</v>
      </c>
      <c r="E13" s="377" t="s">
        <v>205</v>
      </c>
      <c r="F13" s="378" t="s">
        <v>205</v>
      </c>
      <c r="G13" s="377" t="s">
        <v>149</v>
      </c>
      <c r="H13" s="377" t="s">
        <v>205</v>
      </c>
      <c r="I13" s="378" t="s">
        <v>205</v>
      </c>
      <c r="J13" s="377" t="s">
        <v>33</v>
      </c>
      <c r="K13" s="377" t="s">
        <v>42</v>
      </c>
      <c r="L13" s="377" t="s">
        <v>177</v>
      </c>
      <c r="M13" s="377" t="s">
        <v>36</v>
      </c>
      <c r="N13" s="377" t="s">
        <v>36</v>
      </c>
      <c r="O13" s="378" t="s">
        <v>36</v>
      </c>
      <c r="P13" s="377" t="s">
        <v>36</v>
      </c>
      <c r="Q13" s="377" t="s">
        <v>36</v>
      </c>
      <c r="R13" s="378" t="s">
        <v>36</v>
      </c>
    </row>
    <row r="14" spans="1:18" s="382" customFormat="1" ht="12" customHeight="1">
      <c r="A14" s="379">
        <v>1</v>
      </c>
      <c r="B14" s="379">
        <f aca="true" t="shared" si="0" ref="B14:R14">A14+1</f>
        <v>2</v>
      </c>
      <c r="C14" s="379">
        <f t="shared" si="0"/>
        <v>3</v>
      </c>
      <c r="D14" s="379">
        <f t="shared" si="0"/>
        <v>4</v>
      </c>
      <c r="E14" s="380">
        <f t="shared" si="0"/>
        <v>5</v>
      </c>
      <c r="F14" s="381">
        <f t="shared" si="0"/>
        <v>6</v>
      </c>
      <c r="G14" s="380">
        <f t="shared" si="0"/>
        <v>7</v>
      </c>
      <c r="H14" s="380">
        <f t="shared" si="0"/>
        <v>8</v>
      </c>
      <c r="I14" s="381">
        <f t="shared" si="0"/>
        <v>9</v>
      </c>
      <c r="J14" s="380">
        <f t="shared" si="0"/>
        <v>10</v>
      </c>
      <c r="K14" s="380">
        <f t="shared" si="0"/>
        <v>11</v>
      </c>
      <c r="L14" s="380">
        <f t="shared" si="0"/>
        <v>12</v>
      </c>
      <c r="M14" s="380">
        <f t="shared" si="0"/>
        <v>13</v>
      </c>
      <c r="N14" s="380">
        <f t="shared" si="0"/>
        <v>14</v>
      </c>
      <c r="O14" s="380">
        <f t="shared" si="0"/>
        <v>15</v>
      </c>
      <c r="P14" s="380">
        <f t="shared" si="0"/>
        <v>16</v>
      </c>
      <c r="Q14" s="380">
        <f t="shared" si="0"/>
        <v>17</v>
      </c>
      <c r="R14" s="380">
        <f t="shared" si="0"/>
        <v>18</v>
      </c>
    </row>
    <row r="15" spans="1:18" s="389" customFormat="1" ht="12" customHeight="1">
      <c r="A15" s="233">
        <v>1</v>
      </c>
      <c r="B15" s="234" t="str">
        <f>'норм. ГВС  (3-1)'!B78</f>
        <v>п.Рассвет</v>
      </c>
      <c r="C15" s="234" t="str">
        <f>'норм. ГВС  (3-1)'!C78</f>
        <v>ООО «Жилбытсервис»</v>
      </c>
      <c r="D15" s="412">
        <v>1678.65</v>
      </c>
      <c r="E15" s="383">
        <v>38</v>
      </c>
      <c r="F15" s="384" t="e">
        <f>ROUND(O15/L15,2)</f>
        <v>#DIV/0!</v>
      </c>
      <c r="G15" s="412">
        <v>1678.65</v>
      </c>
      <c r="H15" s="383">
        <v>38</v>
      </c>
      <c r="I15" s="384" t="e">
        <f>ROUND(R15/L15,2)</f>
        <v>#DIV/0!</v>
      </c>
      <c r="J15" s="385" t="e">
        <f>ROUND(I15/F15*100,1)</f>
        <v>#DIV/0!</v>
      </c>
      <c r="K15" s="400"/>
      <c r="L15" s="400"/>
      <c r="M15" s="401">
        <f aca="true" t="shared" si="1" ref="M15:N18">ROUND(D15*K15,3)</f>
        <v>0</v>
      </c>
      <c r="N15" s="401">
        <f t="shared" si="1"/>
        <v>0</v>
      </c>
      <c r="O15" s="402">
        <f>M15+N15</f>
        <v>0</v>
      </c>
      <c r="P15" s="403">
        <f aca="true" t="shared" si="2" ref="P15:Q18">ROUND(G15*K15,3)</f>
        <v>0</v>
      </c>
      <c r="Q15" s="403">
        <f t="shared" si="2"/>
        <v>0</v>
      </c>
      <c r="R15" s="402">
        <f>P15+Q15</f>
        <v>0</v>
      </c>
    </row>
    <row r="16" spans="1:18" s="289" customFormat="1" ht="12.75">
      <c r="A16" s="233">
        <v>2</v>
      </c>
      <c r="B16" s="234"/>
      <c r="C16" s="234"/>
      <c r="D16" s="412">
        <v>1678.65</v>
      </c>
      <c r="E16" s="390">
        <v>38</v>
      </c>
      <c r="F16" s="384" t="e">
        <f>ROUND(O16/L16,2)</f>
        <v>#DIV/0!</v>
      </c>
      <c r="G16" s="412">
        <v>1678.65</v>
      </c>
      <c r="H16" s="390">
        <v>38</v>
      </c>
      <c r="I16" s="384" t="e">
        <f>ROUND(R16/L16,2)</f>
        <v>#DIV/0!</v>
      </c>
      <c r="J16" s="385" t="e">
        <f>ROUND(I16/F16*100,1)</f>
        <v>#DIV/0!</v>
      </c>
      <c r="K16" s="400"/>
      <c r="L16" s="400"/>
      <c r="M16" s="401">
        <f t="shared" si="1"/>
        <v>0</v>
      </c>
      <c r="N16" s="401">
        <f t="shared" si="1"/>
        <v>0</v>
      </c>
      <c r="O16" s="402">
        <f>M16+N16</f>
        <v>0</v>
      </c>
      <c r="P16" s="403">
        <f t="shared" si="2"/>
        <v>0</v>
      </c>
      <c r="Q16" s="403">
        <f t="shared" si="2"/>
        <v>0</v>
      </c>
      <c r="R16" s="402">
        <f>P16+Q16</f>
        <v>0</v>
      </c>
    </row>
    <row r="17" spans="1:18" s="289" customFormat="1" ht="12.75">
      <c r="A17" s="233">
        <v>3</v>
      </c>
      <c r="B17" s="234"/>
      <c r="C17" s="234"/>
      <c r="D17" s="383">
        <v>1678.65</v>
      </c>
      <c r="E17" s="390">
        <v>38</v>
      </c>
      <c r="F17" s="384" t="e">
        <f>ROUND(O17/L17,2)</f>
        <v>#DIV/0!</v>
      </c>
      <c r="G17" s="383">
        <v>1678.65</v>
      </c>
      <c r="H17" s="390">
        <v>38</v>
      </c>
      <c r="I17" s="384" t="e">
        <f>ROUND(R17/L17,2)</f>
        <v>#DIV/0!</v>
      </c>
      <c r="J17" s="385" t="e">
        <f>ROUND(I17/F17*100,1)</f>
        <v>#DIV/0!</v>
      </c>
      <c r="K17" s="400"/>
      <c r="L17" s="400"/>
      <c r="M17" s="401">
        <f t="shared" si="1"/>
        <v>0</v>
      </c>
      <c r="N17" s="401">
        <f t="shared" si="1"/>
        <v>0</v>
      </c>
      <c r="O17" s="402">
        <f>M17+N17</f>
        <v>0</v>
      </c>
      <c r="P17" s="403">
        <f t="shared" si="2"/>
        <v>0</v>
      </c>
      <c r="Q17" s="403">
        <f t="shared" si="2"/>
        <v>0</v>
      </c>
      <c r="R17" s="402">
        <f>P17+Q17</f>
        <v>0</v>
      </c>
    </row>
    <row r="18" spans="1:18" s="289" customFormat="1" ht="12.75">
      <c r="A18" s="233">
        <v>4</v>
      </c>
      <c r="B18" s="234"/>
      <c r="C18" s="234"/>
      <c r="D18" s="383"/>
      <c r="E18" s="390"/>
      <c r="F18" s="384" t="e">
        <f>ROUND(O18/L18,2)</f>
        <v>#DIV/0!</v>
      </c>
      <c r="G18" s="383"/>
      <c r="H18" s="390"/>
      <c r="I18" s="384" t="e">
        <f>ROUND(R18/L18,2)</f>
        <v>#DIV/0!</v>
      </c>
      <c r="J18" s="385" t="e">
        <f>ROUND(I18/F18*100,1)</f>
        <v>#DIV/0!</v>
      </c>
      <c r="K18" s="400"/>
      <c r="L18" s="400"/>
      <c r="M18" s="401">
        <f t="shared" si="1"/>
        <v>0</v>
      </c>
      <c r="N18" s="401">
        <f t="shared" si="1"/>
        <v>0</v>
      </c>
      <c r="O18" s="402">
        <f>M18+N18</f>
        <v>0</v>
      </c>
      <c r="P18" s="403">
        <f t="shared" si="2"/>
        <v>0</v>
      </c>
      <c r="Q18" s="403">
        <f t="shared" si="2"/>
        <v>0</v>
      </c>
      <c r="R18" s="402">
        <f>P18+Q18</f>
        <v>0</v>
      </c>
    </row>
    <row r="19" spans="1:18" ht="27.75" customHeight="1">
      <c r="A19" s="891" t="s">
        <v>227</v>
      </c>
      <c r="B19" s="891"/>
      <c r="C19" s="891"/>
      <c r="D19" s="391" t="e">
        <f>ROUND(M19/K19,6)</f>
        <v>#DIV/0!</v>
      </c>
      <c r="E19" s="391" t="e">
        <f>ROUND(N19/L19,6)</f>
        <v>#DIV/0!</v>
      </c>
      <c r="F19" s="290" t="e">
        <f>ROUND(O19/L19,6)</f>
        <v>#DIV/0!</v>
      </c>
      <c r="G19" s="391" t="e">
        <f>ROUND(P19/K19,6)</f>
        <v>#DIV/0!</v>
      </c>
      <c r="H19" s="391" t="e">
        <f>ROUND(Q19/L19,6)</f>
        <v>#DIV/0!</v>
      </c>
      <c r="I19" s="294" t="e">
        <f>ROUND(R19/L19,6)</f>
        <v>#DIV/0!</v>
      </c>
      <c r="J19" s="385" t="e">
        <f>ROUND(I19/F19*100,1)</f>
        <v>#DIV/0!</v>
      </c>
      <c r="K19" s="391">
        <f aca="true" t="shared" si="3" ref="K19:R19">SUM(K15:K18)</f>
        <v>0</v>
      </c>
      <c r="L19" s="391">
        <f t="shared" si="3"/>
        <v>0</v>
      </c>
      <c r="M19" s="404">
        <f t="shared" si="3"/>
        <v>0</v>
      </c>
      <c r="N19" s="404">
        <f t="shared" si="3"/>
        <v>0</v>
      </c>
      <c r="O19" s="293">
        <f t="shared" si="3"/>
        <v>0</v>
      </c>
      <c r="P19" s="408">
        <f t="shared" si="3"/>
        <v>0</v>
      </c>
      <c r="Q19" s="408">
        <f t="shared" si="3"/>
        <v>0</v>
      </c>
      <c r="R19" s="293">
        <f t="shared" si="3"/>
        <v>0</v>
      </c>
    </row>
    <row r="20" spans="1:2" ht="12.75">
      <c r="A20" s="246"/>
      <c r="B20" s="246"/>
    </row>
    <row r="21" ht="12.75">
      <c r="B21" s="247" t="s">
        <v>228</v>
      </c>
    </row>
    <row r="23" spans="1:18" ht="12.75" customHeight="1">
      <c r="A23" s="889" t="s">
        <v>105</v>
      </c>
      <c r="B23" s="889" t="s">
        <v>188</v>
      </c>
      <c r="C23" s="889" t="s">
        <v>107</v>
      </c>
      <c r="D23" s="921" t="s">
        <v>435</v>
      </c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</row>
    <row r="24" spans="1:18" ht="70.5" customHeight="1">
      <c r="A24" s="889"/>
      <c r="B24" s="889"/>
      <c r="C24" s="889"/>
      <c r="D24" s="918" t="s">
        <v>142</v>
      </c>
      <c r="E24" s="918"/>
      <c r="F24" s="918"/>
      <c r="G24" s="913" t="s">
        <v>143</v>
      </c>
      <c r="H24" s="913"/>
      <c r="I24" s="913"/>
      <c r="J24" s="914" t="s">
        <v>235</v>
      </c>
      <c r="K24" s="913" t="s">
        <v>216</v>
      </c>
      <c r="L24" s="913"/>
      <c r="M24" s="913" t="s">
        <v>15</v>
      </c>
      <c r="N24" s="913"/>
      <c r="O24" s="913"/>
      <c r="P24" s="913"/>
      <c r="Q24" s="913"/>
      <c r="R24" s="913"/>
    </row>
    <row r="25" spans="1:18" ht="51.75" customHeight="1">
      <c r="A25" s="889"/>
      <c r="B25" s="889"/>
      <c r="C25" s="889"/>
      <c r="D25" s="911" t="s">
        <v>191</v>
      </c>
      <c r="E25" s="911" t="s">
        <v>192</v>
      </c>
      <c r="F25" s="912" t="s">
        <v>231</v>
      </c>
      <c r="G25" s="911" t="s">
        <v>191</v>
      </c>
      <c r="H25" s="911" t="s">
        <v>192</v>
      </c>
      <c r="I25" s="912" t="s">
        <v>218</v>
      </c>
      <c r="J25" s="914"/>
      <c r="K25" s="913"/>
      <c r="L25" s="913"/>
      <c r="M25" s="913" t="s">
        <v>195</v>
      </c>
      <c r="N25" s="913"/>
      <c r="O25" s="913"/>
      <c r="P25" s="913" t="s">
        <v>207</v>
      </c>
      <c r="Q25" s="913"/>
      <c r="R25" s="913"/>
    </row>
    <row r="26" spans="1:18" ht="51" customHeight="1">
      <c r="A26" s="889"/>
      <c r="B26" s="889"/>
      <c r="C26" s="889"/>
      <c r="D26" s="911"/>
      <c r="E26" s="911"/>
      <c r="F26" s="912"/>
      <c r="G26" s="911"/>
      <c r="H26" s="911"/>
      <c r="I26" s="912"/>
      <c r="J26" s="914"/>
      <c r="K26" s="305" t="s">
        <v>232</v>
      </c>
      <c r="L26" s="305" t="s">
        <v>233</v>
      </c>
      <c r="M26" s="305" t="s">
        <v>199</v>
      </c>
      <c r="N26" s="305" t="s">
        <v>200</v>
      </c>
      <c r="O26" s="375" t="s">
        <v>201</v>
      </c>
      <c r="P26" s="305" t="s">
        <v>202</v>
      </c>
      <c r="Q26" s="305" t="s">
        <v>203</v>
      </c>
      <c r="R26" s="375" t="s">
        <v>204</v>
      </c>
    </row>
    <row r="27" spans="1:18" ht="12.75" customHeight="1">
      <c r="A27" s="280"/>
      <c r="B27" s="280"/>
      <c r="C27" s="280"/>
      <c r="D27" s="376" t="s">
        <v>149</v>
      </c>
      <c r="E27" s="377" t="s">
        <v>205</v>
      </c>
      <c r="F27" s="378" t="s">
        <v>205</v>
      </c>
      <c r="G27" s="377" t="s">
        <v>149</v>
      </c>
      <c r="H27" s="377" t="s">
        <v>205</v>
      </c>
      <c r="I27" s="378" t="s">
        <v>205</v>
      </c>
      <c r="J27" s="377" t="s">
        <v>33</v>
      </c>
      <c r="K27" s="377" t="s">
        <v>42</v>
      </c>
      <c r="L27" s="377" t="s">
        <v>177</v>
      </c>
      <c r="M27" s="377" t="s">
        <v>36</v>
      </c>
      <c r="N27" s="377" t="s">
        <v>36</v>
      </c>
      <c r="O27" s="378" t="s">
        <v>36</v>
      </c>
      <c r="P27" s="377" t="s">
        <v>36</v>
      </c>
      <c r="Q27" s="377" t="s">
        <v>36</v>
      </c>
      <c r="R27" s="378" t="s">
        <v>36</v>
      </c>
    </row>
    <row r="28" spans="1:18" ht="12.75">
      <c r="A28" s="379">
        <v>1</v>
      </c>
      <c r="B28" s="379">
        <f aca="true" t="shared" si="4" ref="B28:R28">A28+1</f>
        <v>2</v>
      </c>
      <c r="C28" s="379">
        <f t="shared" si="4"/>
        <v>3</v>
      </c>
      <c r="D28" s="379">
        <f t="shared" si="4"/>
        <v>4</v>
      </c>
      <c r="E28" s="380">
        <f t="shared" si="4"/>
        <v>5</v>
      </c>
      <c r="F28" s="380">
        <f t="shared" si="4"/>
        <v>6</v>
      </c>
      <c r="G28" s="380">
        <f t="shared" si="4"/>
        <v>7</v>
      </c>
      <c r="H28" s="380">
        <f t="shared" si="4"/>
        <v>8</v>
      </c>
      <c r="I28" s="380">
        <f t="shared" si="4"/>
        <v>9</v>
      </c>
      <c r="J28" s="380">
        <f t="shared" si="4"/>
        <v>10</v>
      </c>
      <c r="K28" s="380">
        <f t="shared" si="4"/>
        <v>11</v>
      </c>
      <c r="L28" s="380">
        <f t="shared" si="4"/>
        <v>12</v>
      </c>
      <c r="M28" s="380">
        <f t="shared" si="4"/>
        <v>13</v>
      </c>
      <c r="N28" s="380">
        <f t="shared" si="4"/>
        <v>14</v>
      </c>
      <c r="O28" s="380">
        <f t="shared" si="4"/>
        <v>15</v>
      </c>
      <c r="P28" s="380">
        <f t="shared" si="4"/>
        <v>16</v>
      </c>
      <c r="Q28" s="380">
        <f t="shared" si="4"/>
        <v>17</v>
      </c>
      <c r="R28" s="380">
        <f t="shared" si="4"/>
        <v>18</v>
      </c>
    </row>
    <row r="29" spans="1:18" ht="12.75">
      <c r="A29" s="233"/>
      <c r="B29" s="234">
        <f>'норм. ГВС  (3-1)'!B95</f>
        <v>0</v>
      </c>
      <c r="C29" s="234">
        <f>'норм. ГВС  (3-1)'!C95</f>
        <v>0</v>
      </c>
      <c r="D29" s="288"/>
      <c r="E29" s="390"/>
      <c r="F29" s="384" t="s">
        <v>205</v>
      </c>
      <c r="G29" s="288"/>
      <c r="H29" s="390"/>
      <c r="I29" s="384" t="s">
        <v>205</v>
      </c>
      <c r="J29" s="385" t="e">
        <f>ROUND(I29/F29*100,1)</f>
        <v>#VALUE!</v>
      </c>
      <c r="K29" s="400">
        <f>'норм. ГВС  (3-1)'!R95</f>
        <v>0</v>
      </c>
      <c r="L29" s="400">
        <f>'норм. ГВС  (3-1)'!S95</f>
        <v>0</v>
      </c>
      <c r="M29" s="401">
        <f aca="true" t="shared" si="5" ref="M29:N31">ROUND(D29*K29,3)</f>
        <v>0</v>
      </c>
      <c r="N29" s="401">
        <f t="shared" si="5"/>
        <v>0</v>
      </c>
      <c r="O29" s="402">
        <f>M29+N29</f>
        <v>0</v>
      </c>
      <c r="P29" s="401">
        <f aca="true" t="shared" si="6" ref="P29:Q31">ROUND(G29*K29,3)</f>
        <v>0</v>
      </c>
      <c r="Q29" s="401">
        <f t="shared" si="6"/>
        <v>0</v>
      </c>
      <c r="R29" s="402">
        <f>P29+Q29</f>
        <v>0</v>
      </c>
    </row>
    <row r="30" spans="1:18" ht="12.75">
      <c r="A30" s="233"/>
      <c r="B30" s="234">
        <f>'норм. ГВС  (3-1)'!B96</f>
        <v>0</v>
      </c>
      <c r="C30" s="234">
        <f>'норм. ГВС  (3-1)'!C96</f>
        <v>0</v>
      </c>
      <c r="D30" s="383"/>
      <c r="E30" s="390"/>
      <c r="F30" s="384" t="e">
        <f>ROUND(O30/L30,2)</f>
        <v>#DIV/0!</v>
      </c>
      <c r="G30" s="383"/>
      <c r="H30" s="390"/>
      <c r="I30" s="384" t="e">
        <f>ROUND(R30/L30,2)</f>
        <v>#DIV/0!</v>
      </c>
      <c r="J30" s="385" t="e">
        <f>ROUND(I30/F30*100,1)</f>
        <v>#DIV/0!</v>
      </c>
      <c r="K30" s="400">
        <f>'норм. ГВС  (3-1)'!R96</f>
        <v>0</v>
      </c>
      <c r="L30" s="400">
        <f>'норм. ГВС  (3-1)'!S96</f>
        <v>0</v>
      </c>
      <c r="M30" s="401">
        <f t="shared" si="5"/>
        <v>0</v>
      </c>
      <c r="N30" s="401">
        <f t="shared" si="5"/>
        <v>0</v>
      </c>
      <c r="O30" s="402">
        <f>M30+N30</f>
        <v>0</v>
      </c>
      <c r="P30" s="401">
        <f t="shared" si="6"/>
        <v>0</v>
      </c>
      <c r="Q30" s="401">
        <f t="shared" si="6"/>
        <v>0</v>
      </c>
      <c r="R30" s="402">
        <f>P30+Q30</f>
        <v>0</v>
      </c>
    </row>
    <row r="31" spans="1:18" ht="12.75">
      <c r="A31" s="233"/>
      <c r="B31" s="234">
        <f>'норм. ГВС  (3-1)'!B97</f>
        <v>0</v>
      </c>
      <c r="C31" s="234">
        <f>'норм. ГВС  (3-1)'!C97</f>
        <v>0</v>
      </c>
      <c r="D31" s="383"/>
      <c r="E31" s="390"/>
      <c r="F31" s="384" t="e">
        <f>ROUND(O31/L31,2)</f>
        <v>#DIV/0!</v>
      </c>
      <c r="G31" s="383"/>
      <c r="H31" s="390"/>
      <c r="I31" s="384" t="e">
        <f>ROUND(R31/L31,2)</f>
        <v>#DIV/0!</v>
      </c>
      <c r="J31" s="385" t="e">
        <f>ROUND(I31/F31*100,1)</f>
        <v>#DIV/0!</v>
      </c>
      <c r="K31" s="400">
        <f>'норм. ГВС  (3-1)'!R97</f>
        <v>0</v>
      </c>
      <c r="L31" s="400">
        <f>'норм. ГВС  (3-1)'!S97</f>
        <v>0</v>
      </c>
      <c r="M31" s="401">
        <f t="shared" si="5"/>
        <v>0</v>
      </c>
      <c r="N31" s="401">
        <f t="shared" si="5"/>
        <v>0</v>
      </c>
      <c r="O31" s="402">
        <f>M31+N31</f>
        <v>0</v>
      </c>
      <c r="P31" s="401">
        <f t="shared" si="6"/>
        <v>0</v>
      </c>
      <c r="Q31" s="401">
        <f t="shared" si="6"/>
        <v>0</v>
      </c>
      <c r="R31" s="402">
        <f>P31+Q31</f>
        <v>0</v>
      </c>
    </row>
    <row r="32" spans="1:18" ht="31.5" customHeight="1">
      <c r="A32" s="891" t="s">
        <v>121</v>
      </c>
      <c r="B32" s="891"/>
      <c r="C32" s="891"/>
      <c r="D32" s="391" t="e">
        <f>ROUND(M32/K32,6)</f>
        <v>#DIV/0!</v>
      </c>
      <c r="E32" s="391" t="e">
        <f>ROUND(N32/L32,6)</f>
        <v>#DIV/0!</v>
      </c>
      <c r="F32" s="290" t="e">
        <f>ROUND(O32/L32,6)</f>
        <v>#DIV/0!</v>
      </c>
      <c r="G32" s="391" t="e">
        <f>ROUND(P32/K32,6)</f>
        <v>#DIV/0!</v>
      </c>
      <c r="H32" s="391" t="e">
        <f>ROUND(Q32/L32,6)</f>
        <v>#DIV/0!</v>
      </c>
      <c r="I32" s="294" t="e">
        <f>ROUND(R32/L32,6)</f>
        <v>#DIV/0!</v>
      </c>
      <c r="J32" s="385" t="e">
        <f>ROUND(I32/F32*100,1)</f>
        <v>#DIV/0!</v>
      </c>
      <c r="K32" s="391">
        <f aca="true" t="shared" si="7" ref="K32:R32">SUM(K29:K31)</f>
        <v>0</v>
      </c>
      <c r="L32" s="391">
        <f t="shared" si="7"/>
        <v>0</v>
      </c>
      <c r="M32" s="404">
        <f t="shared" si="7"/>
        <v>0</v>
      </c>
      <c r="N32" s="404">
        <f t="shared" si="7"/>
        <v>0</v>
      </c>
      <c r="O32" s="293">
        <f t="shared" si="7"/>
        <v>0</v>
      </c>
      <c r="P32" s="293">
        <f t="shared" si="7"/>
        <v>0</v>
      </c>
      <c r="Q32" s="293">
        <f t="shared" si="7"/>
        <v>0</v>
      </c>
      <c r="R32" s="293">
        <f t="shared" si="7"/>
        <v>0</v>
      </c>
    </row>
    <row r="33" spans="16:17" ht="12.75">
      <c r="P33" s="409"/>
      <c r="Q33" s="409"/>
    </row>
    <row r="34" spans="1:20" s="366" customFormat="1" ht="15.75">
      <c r="A34" s="397"/>
      <c r="B34" s="296" t="s">
        <v>157</v>
      </c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</row>
    <row r="35" spans="2:15" ht="15.75">
      <c r="B35" s="410" t="s">
        <v>132</v>
      </c>
      <c r="C35" s="411"/>
      <c r="G35" s="265"/>
      <c r="J35" s="265"/>
      <c r="K35" s="265"/>
      <c r="L35" s="265"/>
      <c r="M35" s="265"/>
      <c r="N35" s="265"/>
      <c r="O35" s="265"/>
    </row>
    <row r="36" spans="1:20" ht="20.25" customHeight="1">
      <c r="A36" s="370"/>
      <c r="B36" s="398" t="s">
        <v>104</v>
      </c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70"/>
      <c r="Q36" s="370"/>
      <c r="R36" s="370"/>
      <c r="S36" s="370"/>
      <c r="T36" s="370"/>
    </row>
    <row r="37" spans="1:20" ht="17.25" customHeight="1">
      <c r="A37" s="370"/>
      <c r="B37" s="370"/>
      <c r="C37" s="370"/>
      <c r="D37" s="370"/>
      <c r="E37" s="370"/>
      <c r="F37" s="370"/>
      <c r="G37" s="301"/>
      <c r="H37" s="301"/>
      <c r="I37" s="222"/>
      <c r="J37" s="222"/>
      <c r="K37" s="222"/>
      <c r="L37" s="220"/>
      <c r="N37" s="207"/>
      <c r="O37" s="370"/>
      <c r="P37" s="370"/>
      <c r="Q37" s="370"/>
      <c r="R37" s="370"/>
      <c r="S37" s="370"/>
      <c r="T37" s="370"/>
    </row>
    <row r="38" spans="1:18" ht="12.75" customHeight="1">
      <c r="A38" s="889" t="s">
        <v>105</v>
      </c>
      <c r="B38" s="889" t="s">
        <v>188</v>
      </c>
      <c r="C38" s="889" t="s">
        <v>107</v>
      </c>
      <c r="D38" s="921" t="s">
        <v>436</v>
      </c>
      <c r="E38" s="921"/>
      <c r="F38" s="921"/>
      <c r="G38" s="921"/>
      <c r="H38" s="921"/>
      <c r="I38" s="921"/>
      <c r="J38" s="921"/>
      <c r="K38" s="921"/>
      <c r="L38" s="921"/>
      <c r="M38" s="921"/>
      <c r="N38" s="921"/>
      <c r="O38" s="921"/>
      <c r="P38" s="921"/>
      <c r="Q38" s="921"/>
      <c r="R38" s="921"/>
    </row>
    <row r="39" spans="1:18" s="276" customFormat="1" ht="66.75" customHeight="1">
      <c r="A39" s="889"/>
      <c r="B39" s="889"/>
      <c r="C39" s="889"/>
      <c r="D39" s="918" t="s">
        <v>142</v>
      </c>
      <c r="E39" s="918"/>
      <c r="F39" s="918"/>
      <c r="G39" s="913" t="s">
        <v>143</v>
      </c>
      <c r="H39" s="913"/>
      <c r="I39" s="913"/>
      <c r="J39" s="914" t="s">
        <v>235</v>
      </c>
      <c r="K39" s="913" t="s">
        <v>216</v>
      </c>
      <c r="L39" s="913"/>
      <c r="M39" s="913" t="s">
        <v>15</v>
      </c>
      <c r="N39" s="913"/>
      <c r="O39" s="913"/>
      <c r="P39" s="913"/>
      <c r="Q39" s="913"/>
      <c r="R39" s="913"/>
    </row>
    <row r="40" spans="1:18" s="276" customFormat="1" ht="49.5" customHeight="1">
      <c r="A40" s="889"/>
      <c r="B40" s="889"/>
      <c r="C40" s="889"/>
      <c r="D40" s="911" t="s">
        <v>191</v>
      </c>
      <c r="E40" s="911" t="s">
        <v>192</v>
      </c>
      <c r="F40" s="912" t="s">
        <v>231</v>
      </c>
      <c r="G40" s="911" t="s">
        <v>191</v>
      </c>
      <c r="H40" s="911" t="s">
        <v>192</v>
      </c>
      <c r="I40" s="912" t="s">
        <v>218</v>
      </c>
      <c r="J40" s="914"/>
      <c r="K40" s="913"/>
      <c r="L40" s="913"/>
      <c r="M40" s="913" t="s">
        <v>195</v>
      </c>
      <c r="N40" s="913"/>
      <c r="O40" s="913"/>
      <c r="P40" s="922" t="s">
        <v>207</v>
      </c>
      <c r="Q40" s="922"/>
      <c r="R40" s="922"/>
    </row>
    <row r="41" spans="1:18" s="276" customFormat="1" ht="63.75" customHeight="1">
      <c r="A41" s="889"/>
      <c r="B41" s="889"/>
      <c r="C41" s="889"/>
      <c r="D41" s="911"/>
      <c r="E41" s="911"/>
      <c r="F41" s="912"/>
      <c r="G41" s="911"/>
      <c r="H41" s="911"/>
      <c r="I41" s="912"/>
      <c r="J41" s="914"/>
      <c r="K41" s="305" t="s">
        <v>219</v>
      </c>
      <c r="L41" s="305" t="s">
        <v>220</v>
      </c>
      <c r="M41" s="305" t="s">
        <v>199</v>
      </c>
      <c r="N41" s="305" t="s">
        <v>200</v>
      </c>
      <c r="O41" s="375" t="s">
        <v>201</v>
      </c>
      <c r="P41" s="305" t="s">
        <v>202</v>
      </c>
      <c r="Q41" s="305" t="s">
        <v>203</v>
      </c>
      <c r="R41" s="375" t="s">
        <v>204</v>
      </c>
    </row>
    <row r="42" spans="1:18" s="279" customFormat="1" ht="12" customHeight="1">
      <c r="A42" s="280"/>
      <c r="B42" s="280"/>
      <c r="C42" s="280"/>
      <c r="D42" s="376" t="s">
        <v>149</v>
      </c>
      <c r="E42" s="377" t="s">
        <v>205</v>
      </c>
      <c r="F42" s="378" t="s">
        <v>205</v>
      </c>
      <c r="G42" s="377" t="s">
        <v>149</v>
      </c>
      <c r="H42" s="377" t="s">
        <v>205</v>
      </c>
      <c r="I42" s="378" t="s">
        <v>205</v>
      </c>
      <c r="J42" s="377" t="s">
        <v>33</v>
      </c>
      <c r="K42" s="377" t="s">
        <v>42</v>
      </c>
      <c r="L42" s="377" t="s">
        <v>177</v>
      </c>
      <c r="M42" s="377" t="s">
        <v>36</v>
      </c>
      <c r="N42" s="377" t="s">
        <v>36</v>
      </c>
      <c r="O42" s="378" t="s">
        <v>36</v>
      </c>
      <c r="P42" s="377" t="s">
        <v>36</v>
      </c>
      <c r="Q42" s="377" t="s">
        <v>36</v>
      </c>
      <c r="R42" s="378" t="s">
        <v>36</v>
      </c>
    </row>
    <row r="43" spans="1:18" s="382" customFormat="1" ht="12" customHeight="1">
      <c r="A43" s="379">
        <v>1</v>
      </c>
      <c r="B43" s="379">
        <f aca="true" t="shared" si="8" ref="B43:R43">A43+1</f>
        <v>2</v>
      </c>
      <c r="C43" s="379">
        <f t="shared" si="8"/>
        <v>3</v>
      </c>
      <c r="D43" s="379">
        <f t="shared" si="8"/>
        <v>4</v>
      </c>
      <c r="E43" s="380">
        <f t="shared" si="8"/>
        <v>5</v>
      </c>
      <c r="F43" s="381">
        <f t="shared" si="8"/>
        <v>6</v>
      </c>
      <c r="G43" s="380">
        <f t="shared" si="8"/>
        <v>7</v>
      </c>
      <c r="H43" s="380">
        <f t="shared" si="8"/>
        <v>8</v>
      </c>
      <c r="I43" s="381">
        <f t="shared" si="8"/>
        <v>9</v>
      </c>
      <c r="J43" s="380">
        <f t="shared" si="8"/>
        <v>10</v>
      </c>
      <c r="K43" s="380">
        <f t="shared" si="8"/>
        <v>11</v>
      </c>
      <c r="L43" s="380">
        <f t="shared" si="8"/>
        <v>12</v>
      </c>
      <c r="M43" s="380">
        <f t="shared" si="8"/>
        <v>13</v>
      </c>
      <c r="N43" s="380">
        <f t="shared" si="8"/>
        <v>14</v>
      </c>
      <c r="O43" s="380">
        <f t="shared" si="8"/>
        <v>15</v>
      </c>
      <c r="P43" s="380">
        <f t="shared" si="8"/>
        <v>16</v>
      </c>
      <c r="Q43" s="380">
        <f t="shared" si="8"/>
        <v>17</v>
      </c>
      <c r="R43" s="380">
        <f t="shared" si="8"/>
        <v>18</v>
      </c>
    </row>
    <row r="44" spans="1:18" s="389" customFormat="1" ht="12" customHeight="1">
      <c r="A44" s="233">
        <v>1</v>
      </c>
      <c r="B44" s="234" t="str">
        <f>'норм. ГВС  (3-1)'!B110</f>
        <v>п.Рассвет</v>
      </c>
      <c r="C44" s="234" t="str">
        <f>'норм. ГВС  (3-1)'!C110</f>
        <v>ООО «Жилбытсервис»</v>
      </c>
      <c r="D44" s="412">
        <v>2505.08</v>
      </c>
      <c r="E44" s="383">
        <v>52.04</v>
      </c>
      <c r="F44" s="384">
        <f>ROUND(O44/L44,2)</f>
        <v>224.63</v>
      </c>
      <c r="G44" s="412">
        <f aca="true" t="shared" si="9" ref="G44:H46">D44</f>
        <v>2505.08</v>
      </c>
      <c r="H44" s="383">
        <f t="shared" si="9"/>
        <v>52.04</v>
      </c>
      <c r="I44" s="384">
        <f>ROUND(R44/L44,2)</f>
        <v>224.63</v>
      </c>
      <c r="J44" s="385">
        <f>ROUND(I44/F44*100,1)</f>
        <v>100</v>
      </c>
      <c r="K44" s="400">
        <f>'норм. ГВС  (3-1)'!R110</f>
        <v>0.02768</v>
      </c>
      <c r="L44" s="400">
        <f>'норм. ГВС  (3-1)'!S110</f>
        <v>0.40176</v>
      </c>
      <c r="M44" s="401">
        <f aca="true" t="shared" si="10" ref="M44:N47">ROUND(D44*K44,3)</f>
        <v>69.341</v>
      </c>
      <c r="N44" s="401">
        <f t="shared" si="10"/>
        <v>20.908</v>
      </c>
      <c r="O44" s="402">
        <f>M44+N44</f>
        <v>90.249</v>
      </c>
      <c r="P44" s="403">
        <f aca="true" t="shared" si="11" ref="P44:Q47">ROUND(G44*K44,3)</f>
        <v>69.341</v>
      </c>
      <c r="Q44" s="403">
        <f t="shared" si="11"/>
        <v>20.908</v>
      </c>
      <c r="R44" s="402">
        <f>P44+Q44</f>
        <v>90.249</v>
      </c>
    </row>
    <row r="45" spans="1:18" s="289" customFormat="1" ht="12.75">
      <c r="A45" s="233">
        <v>2</v>
      </c>
      <c r="B45" s="234"/>
      <c r="C45" s="234"/>
      <c r="D45" s="412">
        <v>2505.08</v>
      </c>
      <c r="E45" s="383">
        <v>52.04</v>
      </c>
      <c r="F45" s="384">
        <f>ROUND(O45/L45,2)</f>
        <v>223.79</v>
      </c>
      <c r="G45" s="412">
        <f t="shared" si="9"/>
        <v>2505.08</v>
      </c>
      <c r="H45" s="383">
        <f t="shared" si="9"/>
        <v>52.04</v>
      </c>
      <c r="I45" s="384">
        <f>ROUND(R45/L45,2)</f>
        <v>223.79</v>
      </c>
      <c r="J45" s="385">
        <f>ROUND(I45/F45*100,1)</f>
        <v>100</v>
      </c>
      <c r="K45" s="400">
        <f>'норм. ГВС  (3-1)'!R111</f>
        <v>0.00034</v>
      </c>
      <c r="L45" s="400">
        <f>'норм. ГВС  (3-1)'!S111</f>
        <v>0.00496</v>
      </c>
      <c r="M45" s="401">
        <f t="shared" si="10"/>
        <v>0.852</v>
      </c>
      <c r="N45" s="401">
        <f t="shared" si="10"/>
        <v>0.258</v>
      </c>
      <c r="O45" s="402">
        <f>M45+N45</f>
        <v>1.1099999999999999</v>
      </c>
      <c r="P45" s="403">
        <f t="shared" si="11"/>
        <v>0.852</v>
      </c>
      <c r="Q45" s="403">
        <f t="shared" si="11"/>
        <v>0.258</v>
      </c>
      <c r="R45" s="402">
        <f>P45+Q45</f>
        <v>1.1099999999999999</v>
      </c>
    </row>
    <row r="46" spans="1:18" s="289" customFormat="1" ht="12.75">
      <c r="A46" s="233">
        <v>3</v>
      </c>
      <c r="B46" s="234"/>
      <c r="C46" s="234"/>
      <c r="D46" s="412">
        <v>2505.08</v>
      </c>
      <c r="E46" s="383">
        <v>52.04</v>
      </c>
      <c r="F46" s="384">
        <f>ROUND(O46/L46,2)</f>
        <v>224.64</v>
      </c>
      <c r="G46" s="412">
        <f t="shared" si="9"/>
        <v>2505.08</v>
      </c>
      <c r="H46" s="383">
        <f t="shared" si="9"/>
        <v>52.04</v>
      </c>
      <c r="I46" s="384">
        <f>ROUND(R46/L46,2)</f>
        <v>224.64</v>
      </c>
      <c r="J46" s="385">
        <f>ROUND(I46/F46*100,1)</f>
        <v>100</v>
      </c>
      <c r="K46" s="400">
        <f>'норм. ГВС  (3-1)'!R114</f>
        <v>9.90596</v>
      </c>
      <c r="L46" s="400">
        <f>'норм. ГВС  (3-1)'!S114</f>
        <v>143.773</v>
      </c>
      <c r="M46" s="401">
        <f t="shared" si="10"/>
        <v>24815.222</v>
      </c>
      <c r="N46" s="401">
        <f t="shared" si="10"/>
        <v>7481.947</v>
      </c>
      <c r="O46" s="402">
        <f>M46+N46</f>
        <v>32297.169</v>
      </c>
      <c r="P46" s="403">
        <f t="shared" si="11"/>
        <v>24815.222</v>
      </c>
      <c r="Q46" s="403">
        <f t="shared" si="11"/>
        <v>7481.947</v>
      </c>
      <c r="R46" s="402">
        <f>P46+Q46</f>
        <v>32297.169</v>
      </c>
    </row>
    <row r="47" spans="1:18" s="289" customFormat="1" ht="12.75">
      <c r="A47" s="233">
        <v>4</v>
      </c>
      <c r="B47" s="234"/>
      <c r="C47" s="234"/>
      <c r="D47" s="383"/>
      <c r="E47" s="390"/>
      <c r="F47" s="384" t="e">
        <f>ROUND(O47/L47,2)</f>
        <v>#DIV/0!</v>
      </c>
      <c r="G47" s="383"/>
      <c r="H47" s="390"/>
      <c r="I47" s="384" t="e">
        <f>ROUND(R47/L47,2)</f>
        <v>#DIV/0!</v>
      </c>
      <c r="J47" s="385" t="e">
        <f>ROUND(I47/F47*100,1)</f>
        <v>#DIV/0!</v>
      </c>
      <c r="K47" s="400"/>
      <c r="L47" s="400"/>
      <c r="M47" s="401">
        <f t="shared" si="10"/>
        <v>0</v>
      </c>
      <c r="N47" s="401">
        <f t="shared" si="10"/>
        <v>0</v>
      </c>
      <c r="O47" s="402">
        <f>M47+N47</f>
        <v>0</v>
      </c>
      <c r="P47" s="403">
        <f t="shared" si="11"/>
        <v>0</v>
      </c>
      <c r="Q47" s="403">
        <f t="shared" si="11"/>
        <v>0</v>
      </c>
      <c r="R47" s="402">
        <f>P47+Q47</f>
        <v>0</v>
      </c>
    </row>
    <row r="48" spans="1:18" ht="27.75" customHeight="1">
      <c r="A48" s="891" t="s">
        <v>227</v>
      </c>
      <c r="B48" s="891"/>
      <c r="C48" s="891"/>
      <c r="D48" s="391">
        <f>ROUND(M48/K48,6)</f>
        <v>2505.080038</v>
      </c>
      <c r="E48" s="391">
        <f>ROUND(N48/L48,6)</f>
        <v>52.040003</v>
      </c>
      <c r="F48" s="290">
        <f>ROUND(O48/L48,6)</f>
        <v>224.63997</v>
      </c>
      <c r="G48" s="391">
        <f>ROUND(P48/K48,6)</f>
        <v>2505.080038</v>
      </c>
      <c r="H48" s="391">
        <f>ROUND(Q48/L48,6)</f>
        <v>52.040003</v>
      </c>
      <c r="I48" s="294">
        <f>ROUND(R48/L48,6)</f>
        <v>224.63997</v>
      </c>
      <c r="J48" s="385">
        <f>ROUND(I48/F48*100,1)</f>
        <v>100</v>
      </c>
      <c r="K48" s="790">
        <f>SUM(K44:K47)</f>
        <v>9.93398</v>
      </c>
      <c r="L48" s="791">
        <f>SUM(L44:L47)</f>
        <v>144.17972</v>
      </c>
      <c r="M48" s="404">
        <f aca="true" t="shared" si="12" ref="M48:R48">SUM(M44:M47)</f>
        <v>24885.415</v>
      </c>
      <c r="N48" s="404">
        <f t="shared" si="12"/>
        <v>7503.113</v>
      </c>
      <c r="O48" s="404">
        <f t="shared" si="12"/>
        <v>32388.528000000002</v>
      </c>
      <c r="P48" s="404">
        <f t="shared" si="12"/>
        <v>24885.415</v>
      </c>
      <c r="Q48" s="404">
        <f t="shared" si="12"/>
        <v>7503.113</v>
      </c>
      <c r="R48" s="404">
        <f t="shared" si="12"/>
        <v>32388.528000000002</v>
      </c>
    </row>
    <row r="49" spans="1:12" ht="12.75">
      <c r="A49" s="246"/>
      <c r="B49" s="246"/>
      <c r="K49" s="767"/>
      <c r="L49" s="767"/>
    </row>
    <row r="50" ht="12.75">
      <c r="B50" s="247" t="s">
        <v>228</v>
      </c>
    </row>
    <row r="52" spans="1:18" ht="12.75" customHeight="1">
      <c r="A52" s="889" t="s">
        <v>105</v>
      </c>
      <c r="B52" s="889" t="s">
        <v>188</v>
      </c>
      <c r="C52" s="889" t="s">
        <v>107</v>
      </c>
      <c r="D52" s="921" t="s">
        <v>436</v>
      </c>
      <c r="E52" s="921"/>
      <c r="F52" s="921"/>
      <c r="G52" s="921"/>
      <c r="H52" s="921"/>
      <c r="I52" s="921"/>
      <c r="J52" s="921"/>
      <c r="K52" s="921"/>
      <c r="L52" s="921"/>
      <c r="M52" s="921"/>
      <c r="N52" s="921"/>
      <c r="O52" s="921"/>
      <c r="P52" s="921"/>
      <c r="Q52" s="921"/>
      <c r="R52" s="921"/>
    </row>
    <row r="53" spans="1:18" ht="70.5" customHeight="1">
      <c r="A53" s="889"/>
      <c r="B53" s="889"/>
      <c r="C53" s="889"/>
      <c r="D53" s="918" t="s">
        <v>142</v>
      </c>
      <c r="E53" s="918"/>
      <c r="F53" s="918"/>
      <c r="G53" s="913" t="s">
        <v>143</v>
      </c>
      <c r="H53" s="913"/>
      <c r="I53" s="913"/>
      <c r="J53" s="914" t="s">
        <v>235</v>
      </c>
      <c r="K53" s="913" t="s">
        <v>216</v>
      </c>
      <c r="L53" s="913"/>
      <c r="M53" s="913" t="s">
        <v>15</v>
      </c>
      <c r="N53" s="913"/>
      <c r="O53" s="913"/>
      <c r="P53" s="913"/>
      <c r="Q53" s="913"/>
      <c r="R53" s="913"/>
    </row>
    <row r="54" spans="1:18" ht="51.75" customHeight="1">
      <c r="A54" s="889"/>
      <c r="B54" s="889"/>
      <c r="C54" s="889"/>
      <c r="D54" s="911" t="s">
        <v>191</v>
      </c>
      <c r="E54" s="911" t="s">
        <v>192</v>
      </c>
      <c r="F54" s="912" t="s">
        <v>231</v>
      </c>
      <c r="G54" s="911" t="s">
        <v>191</v>
      </c>
      <c r="H54" s="911" t="s">
        <v>192</v>
      </c>
      <c r="I54" s="912" t="s">
        <v>218</v>
      </c>
      <c r="J54" s="914"/>
      <c r="K54" s="913"/>
      <c r="L54" s="913"/>
      <c r="M54" s="913" t="s">
        <v>195</v>
      </c>
      <c r="N54" s="913"/>
      <c r="O54" s="913"/>
      <c r="P54" s="913" t="s">
        <v>207</v>
      </c>
      <c r="Q54" s="913"/>
      <c r="R54" s="913"/>
    </row>
    <row r="55" spans="1:18" ht="51" customHeight="1">
      <c r="A55" s="889"/>
      <c r="B55" s="889"/>
      <c r="C55" s="889"/>
      <c r="D55" s="911"/>
      <c r="E55" s="911"/>
      <c r="F55" s="912"/>
      <c r="G55" s="911"/>
      <c r="H55" s="911"/>
      <c r="I55" s="912"/>
      <c r="J55" s="914"/>
      <c r="K55" s="305" t="s">
        <v>232</v>
      </c>
      <c r="L55" s="305" t="s">
        <v>233</v>
      </c>
      <c r="M55" s="305" t="s">
        <v>199</v>
      </c>
      <c r="N55" s="305" t="s">
        <v>200</v>
      </c>
      <c r="O55" s="375" t="s">
        <v>201</v>
      </c>
      <c r="P55" s="305" t="s">
        <v>202</v>
      </c>
      <c r="Q55" s="305" t="s">
        <v>203</v>
      </c>
      <c r="R55" s="375" t="s">
        <v>204</v>
      </c>
    </row>
    <row r="56" spans="1:18" ht="12.75" customHeight="1">
      <c r="A56" s="280"/>
      <c r="B56" s="280"/>
      <c r="C56" s="280"/>
      <c r="D56" s="376" t="s">
        <v>149</v>
      </c>
      <c r="E56" s="377" t="s">
        <v>205</v>
      </c>
      <c r="F56" s="378" t="s">
        <v>205</v>
      </c>
      <c r="G56" s="377" t="s">
        <v>149</v>
      </c>
      <c r="H56" s="377" t="s">
        <v>205</v>
      </c>
      <c r="I56" s="378" t="s">
        <v>205</v>
      </c>
      <c r="J56" s="377" t="s">
        <v>33</v>
      </c>
      <c r="K56" s="377" t="s">
        <v>42</v>
      </c>
      <c r="L56" s="377" t="s">
        <v>177</v>
      </c>
      <c r="M56" s="377" t="s">
        <v>36</v>
      </c>
      <c r="N56" s="377" t="s">
        <v>36</v>
      </c>
      <c r="O56" s="378" t="s">
        <v>36</v>
      </c>
      <c r="P56" s="377" t="s">
        <v>36</v>
      </c>
      <c r="Q56" s="377" t="s">
        <v>36</v>
      </c>
      <c r="R56" s="378" t="s">
        <v>36</v>
      </c>
    </row>
    <row r="57" spans="1:18" ht="12.75">
      <c r="A57" s="379">
        <v>1</v>
      </c>
      <c r="B57" s="379">
        <f aca="true" t="shared" si="13" ref="B57:R57">A57+1</f>
        <v>2</v>
      </c>
      <c r="C57" s="379">
        <f t="shared" si="13"/>
        <v>3</v>
      </c>
      <c r="D57" s="379">
        <f t="shared" si="13"/>
        <v>4</v>
      </c>
      <c r="E57" s="380">
        <f t="shared" si="13"/>
        <v>5</v>
      </c>
      <c r="F57" s="380">
        <f t="shared" si="13"/>
        <v>6</v>
      </c>
      <c r="G57" s="380">
        <f t="shared" si="13"/>
        <v>7</v>
      </c>
      <c r="H57" s="380">
        <f t="shared" si="13"/>
        <v>8</v>
      </c>
      <c r="I57" s="380">
        <f t="shared" si="13"/>
        <v>9</v>
      </c>
      <c r="J57" s="380">
        <f t="shared" si="13"/>
        <v>10</v>
      </c>
      <c r="K57" s="380">
        <f t="shared" si="13"/>
        <v>11</v>
      </c>
      <c r="L57" s="380">
        <f t="shared" si="13"/>
        <v>12</v>
      </c>
      <c r="M57" s="380">
        <f t="shared" si="13"/>
        <v>13</v>
      </c>
      <c r="N57" s="380">
        <f t="shared" si="13"/>
        <v>14</v>
      </c>
      <c r="O57" s="380">
        <f t="shared" si="13"/>
        <v>15</v>
      </c>
      <c r="P57" s="380">
        <f t="shared" si="13"/>
        <v>16</v>
      </c>
      <c r="Q57" s="380">
        <f t="shared" si="13"/>
        <v>17</v>
      </c>
      <c r="R57" s="380">
        <f t="shared" si="13"/>
        <v>18</v>
      </c>
    </row>
    <row r="58" spans="1:18" ht="12.75">
      <c r="A58" s="233"/>
      <c r="B58" s="234">
        <f>'норм. ГВС  (3-1)'!B125</f>
        <v>0</v>
      </c>
      <c r="C58" s="234">
        <f>'норм. ГВС  (3-1)'!C125</f>
        <v>0</v>
      </c>
      <c r="D58" s="288"/>
      <c r="E58" s="390"/>
      <c r="F58" s="384" t="s">
        <v>205</v>
      </c>
      <c r="G58" s="288"/>
      <c r="H58" s="390"/>
      <c r="I58" s="384" t="s">
        <v>205</v>
      </c>
      <c r="J58" s="385" t="e">
        <f>ROUND(I58/F58*100,1)</f>
        <v>#VALUE!</v>
      </c>
      <c r="K58" s="400">
        <f>'норм. ГВС  (3-1)'!R125</f>
        <v>0</v>
      </c>
      <c r="L58" s="400">
        <f>'норм. ГВС  (3-1)'!S125</f>
        <v>0</v>
      </c>
      <c r="M58" s="401">
        <f aca="true" t="shared" si="14" ref="M58:N60">ROUND(D58*K58,3)</f>
        <v>0</v>
      </c>
      <c r="N58" s="401">
        <f t="shared" si="14"/>
        <v>0</v>
      </c>
      <c r="O58" s="402">
        <f>M58+N58</f>
        <v>0</v>
      </c>
      <c r="P58" s="401">
        <f aca="true" t="shared" si="15" ref="P58:Q60">ROUND(G58*K58,3)</f>
        <v>0</v>
      </c>
      <c r="Q58" s="401">
        <f t="shared" si="15"/>
        <v>0</v>
      </c>
      <c r="R58" s="402">
        <f>P58+Q58</f>
        <v>0</v>
      </c>
    </row>
    <row r="59" spans="1:18" ht="12.75">
      <c r="A59" s="233"/>
      <c r="B59" s="234">
        <f>'норм. ГВС  (3-1)'!B126</f>
        <v>0</v>
      </c>
      <c r="C59" s="234">
        <f>'норм. ГВС  (3-1)'!C126</f>
        <v>0</v>
      </c>
      <c r="D59" s="383"/>
      <c r="E59" s="390"/>
      <c r="F59" s="384" t="e">
        <f>ROUND(O59/L59,2)</f>
        <v>#DIV/0!</v>
      </c>
      <c r="G59" s="383"/>
      <c r="H59" s="390"/>
      <c r="I59" s="384" t="e">
        <f>ROUND(R59/L59,2)</f>
        <v>#DIV/0!</v>
      </c>
      <c r="J59" s="385" t="e">
        <f>ROUND(I59/F59*100,1)</f>
        <v>#DIV/0!</v>
      </c>
      <c r="K59" s="400">
        <f>'норм. ГВС  (3-1)'!R126</f>
        <v>0</v>
      </c>
      <c r="L59" s="400">
        <f>'норм. ГВС  (3-1)'!S126</f>
        <v>0</v>
      </c>
      <c r="M59" s="401">
        <f t="shared" si="14"/>
        <v>0</v>
      </c>
      <c r="N59" s="401">
        <f t="shared" si="14"/>
        <v>0</v>
      </c>
      <c r="O59" s="402">
        <f>M59+N59</f>
        <v>0</v>
      </c>
      <c r="P59" s="401">
        <f t="shared" si="15"/>
        <v>0</v>
      </c>
      <c r="Q59" s="401">
        <f t="shared" si="15"/>
        <v>0</v>
      </c>
      <c r="R59" s="402">
        <f>P59+Q59</f>
        <v>0</v>
      </c>
    </row>
    <row r="60" spans="1:18" ht="12.75">
      <c r="A60" s="233"/>
      <c r="B60" s="234">
        <f>'норм. ГВС  (3-1)'!B127</f>
        <v>0</v>
      </c>
      <c r="C60" s="234">
        <f>'норм. ГВС  (3-1)'!C127</f>
        <v>0</v>
      </c>
      <c r="D60" s="383"/>
      <c r="E60" s="390"/>
      <c r="F60" s="384" t="e">
        <f>ROUND(O60/L60,2)</f>
        <v>#DIV/0!</v>
      </c>
      <c r="G60" s="383"/>
      <c r="H60" s="390"/>
      <c r="I60" s="384" t="e">
        <f>ROUND(R60/L60,2)</f>
        <v>#DIV/0!</v>
      </c>
      <c r="J60" s="385" t="e">
        <f>ROUND(I60/F60*100,1)</f>
        <v>#DIV/0!</v>
      </c>
      <c r="K60" s="400">
        <f>'норм. ГВС  (3-1)'!R127</f>
        <v>0</v>
      </c>
      <c r="L60" s="400">
        <f>'норм. ГВС  (3-1)'!S127</f>
        <v>0</v>
      </c>
      <c r="M60" s="401">
        <f t="shared" si="14"/>
        <v>0</v>
      </c>
      <c r="N60" s="401">
        <f t="shared" si="14"/>
        <v>0</v>
      </c>
      <c r="O60" s="402">
        <f>M60+N60</f>
        <v>0</v>
      </c>
      <c r="P60" s="401">
        <f t="shared" si="15"/>
        <v>0</v>
      </c>
      <c r="Q60" s="401">
        <f t="shared" si="15"/>
        <v>0</v>
      </c>
      <c r="R60" s="402">
        <f>P60+Q60</f>
        <v>0</v>
      </c>
    </row>
    <row r="61" spans="1:18" ht="31.5" customHeight="1">
      <c r="A61" s="891" t="s">
        <v>121</v>
      </c>
      <c r="B61" s="891"/>
      <c r="C61" s="891"/>
      <c r="D61" s="391" t="e">
        <f>ROUND(M61/K61,6)</f>
        <v>#DIV/0!</v>
      </c>
      <c r="E61" s="391" t="e">
        <f>ROUND(N61/L61,6)</f>
        <v>#DIV/0!</v>
      </c>
      <c r="F61" s="290" t="e">
        <f>ROUND(O61/L61,6)</f>
        <v>#DIV/0!</v>
      </c>
      <c r="G61" s="391" t="e">
        <f>ROUND(P61/K61,6)</f>
        <v>#DIV/0!</v>
      </c>
      <c r="H61" s="391" t="e">
        <f>ROUND(Q61/L61,6)</f>
        <v>#DIV/0!</v>
      </c>
      <c r="I61" s="294" t="e">
        <f>ROUND(R61/L61,6)</f>
        <v>#DIV/0!</v>
      </c>
      <c r="J61" s="385" t="e">
        <f>ROUND(I61/F61*100,1)</f>
        <v>#DIV/0!</v>
      </c>
      <c r="K61" s="391">
        <f aca="true" t="shared" si="16" ref="K61:R61">SUM(K58:K60)</f>
        <v>0</v>
      </c>
      <c r="L61" s="391">
        <f t="shared" si="16"/>
        <v>0</v>
      </c>
      <c r="M61" s="404">
        <f t="shared" si="16"/>
        <v>0</v>
      </c>
      <c r="N61" s="404">
        <f t="shared" si="16"/>
        <v>0</v>
      </c>
      <c r="O61" s="293">
        <f t="shared" si="16"/>
        <v>0</v>
      </c>
      <c r="P61" s="293">
        <f t="shared" si="16"/>
        <v>0</v>
      </c>
      <c r="Q61" s="293">
        <f t="shared" si="16"/>
        <v>0</v>
      </c>
      <c r="R61" s="293">
        <f t="shared" si="16"/>
        <v>0</v>
      </c>
    </row>
    <row r="62" spans="1:18" ht="31.5" customHeight="1">
      <c r="A62" s="254"/>
      <c r="B62" s="254"/>
      <c r="C62" s="254"/>
      <c r="D62" s="413"/>
      <c r="E62" s="413"/>
      <c r="F62" s="298"/>
      <c r="G62" s="413"/>
      <c r="H62" s="413"/>
      <c r="I62" s="302"/>
      <c r="J62" s="289"/>
      <c r="K62" s="413"/>
      <c r="L62" s="413"/>
      <c r="M62" s="409"/>
      <c r="N62" s="409"/>
      <c r="O62" s="301"/>
      <c r="P62" s="301"/>
      <c r="Q62" s="301"/>
      <c r="R62" s="301"/>
    </row>
    <row r="63" spans="16:17" ht="12.75">
      <c r="P63" s="409"/>
      <c r="Q63" s="409"/>
    </row>
    <row r="64" spans="2:6" ht="18.75">
      <c r="B64" s="802" t="s">
        <v>422</v>
      </c>
      <c r="C64" s="803"/>
      <c r="D64" s="803" t="s">
        <v>423</v>
      </c>
      <c r="E64" s="809"/>
      <c r="F64" s="804"/>
    </row>
    <row r="65" spans="2:6" ht="18.75">
      <c r="B65" s="802"/>
      <c r="C65" s="802"/>
      <c r="D65" s="802"/>
      <c r="E65" s="802"/>
      <c r="F65" s="804" t="s">
        <v>97</v>
      </c>
    </row>
    <row r="66" spans="2:6" ht="18.75">
      <c r="B66" s="802" t="s">
        <v>98</v>
      </c>
      <c r="C66" s="803" t="s">
        <v>424</v>
      </c>
      <c r="D66" s="803"/>
      <c r="E66" s="803"/>
      <c r="F66" s="804"/>
    </row>
    <row r="67" spans="2:6" ht="18.75">
      <c r="B67" s="802" t="s">
        <v>421</v>
      </c>
      <c r="C67" s="808" t="s">
        <v>425</v>
      </c>
      <c r="D67" s="807"/>
      <c r="E67" s="807"/>
      <c r="F67" s="804"/>
    </row>
  </sheetData>
  <sheetProtection selectLockedCells="1" selectUnlockedCells="1"/>
  <mergeCells count="75">
    <mergeCell ref="H11:H12"/>
    <mergeCell ref="I11:I12"/>
    <mergeCell ref="M11:O11"/>
    <mergeCell ref="P11:R11"/>
    <mergeCell ref="D2:R2"/>
    <mergeCell ref="A3:R3"/>
    <mergeCell ref="B4:Q4"/>
    <mergeCell ref="A9:A12"/>
    <mergeCell ref="B9:B12"/>
    <mergeCell ref="C9:C12"/>
    <mergeCell ref="D9:R9"/>
    <mergeCell ref="D10:F10"/>
    <mergeCell ref="G10:I10"/>
    <mergeCell ref="J10:J12"/>
    <mergeCell ref="A19:C19"/>
    <mergeCell ref="A23:A26"/>
    <mergeCell ref="B23:B26"/>
    <mergeCell ref="C23:C26"/>
    <mergeCell ref="K10:L11"/>
    <mergeCell ref="M10:R10"/>
    <mergeCell ref="D11:D12"/>
    <mergeCell ref="E11:E12"/>
    <mergeCell ref="F11:F12"/>
    <mergeCell ref="G11:G12"/>
    <mergeCell ref="M25:O25"/>
    <mergeCell ref="P25:R25"/>
    <mergeCell ref="D23:R23"/>
    <mergeCell ref="D24:F24"/>
    <mergeCell ref="G24:I24"/>
    <mergeCell ref="J24:J26"/>
    <mergeCell ref="K24:L25"/>
    <mergeCell ref="M24:R24"/>
    <mergeCell ref="D25:D26"/>
    <mergeCell ref="E25:E26"/>
    <mergeCell ref="A32:C32"/>
    <mergeCell ref="A38:A41"/>
    <mergeCell ref="B38:B41"/>
    <mergeCell ref="C38:C41"/>
    <mergeCell ref="H25:H26"/>
    <mergeCell ref="I25:I26"/>
    <mergeCell ref="F25:F26"/>
    <mergeCell ref="G25:G26"/>
    <mergeCell ref="D38:R38"/>
    <mergeCell ref="D39:F39"/>
    <mergeCell ref="G39:I39"/>
    <mergeCell ref="J39:J41"/>
    <mergeCell ref="K39:L40"/>
    <mergeCell ref="M39:R39"/>
    <mergeCell ref="D40:D41"/>
    <mergeCell ref="E40:E41"/>
    <mergeCell ref="D53:F53"/>
    <mergeCell ref="M40:O40"/>
    <mergeCell ref="P40:R40"/>
    <mergeCell ref="H40:H41"/>
    <mergeCell ref="I40:I41"/>
    <mergeCell ref="F40:F41"/>
    <mergeCell ref="G40:G41"/>
    <mergeCell ref="P54:R54"/>
    <mergeCell ref="G53:I53"/>
    <mergeCell ref="J53:J55"/>
    <mergeCell ref="K53:L54"/>
    <mergeCell ref="M53:R53"/>
    <mergeCell ref="A48:C48"/>
    <mergeCell ref="A52:A55"/>
    <mergeCell ref="B52:B55"/>
    <mergeCell ref="C52:C55"/>
    <mergeCell ref="D52:R52"/>
    <mergeCell ref="A61:C61"/>
    <mergeCell ref="H54:H55"/>
    <mergeCell ref="I54:I55"/>
    <mergeCell ref="M54:O54"/>
    <mergeCell ref="G54:G55"/>
    <mergeCell ref="D54:D55"/>
    <mergeCell ref="E54:E55"/>
    <mergeCell ref="F54:F5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48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136"/>
  <sheetViews>
    <sheetView zoomScale="80" zoomScaleNormal="80" zoomScaleSheetLayoutView="86" zoomScalePageLayoutView="0" workbookViewId="0" topLeftCell="G1">
      <selection activeCell="B2" sqref="B2:O2"/>
    </sheetView>
  </sheetViews>
  <sheetFormatPr defaultColWidth="9.00390625" defaultRowHeight="12.75"/>
  <cols>
    <col min="1" max="1" width="4.25390625" style="208" customWidth="1"/>
    <col min="2" max="2" width="22.00390625" style="208" customWidth="1"/>
    <col min="3" max="3" width="18.25390625" style="208" customWidth="1"/>
    <col min="4" max="5" width="18.125" style="208" customWidth="1"/>
    <col min="6" max="6" width="13.00390625" style="208" customWidth="1"/>
    <col min="7" max="7" width="11.625" style="208" customWidth="1"/>
    <col min="8" max="8" width="22.125" style="208" customWidth="1"/>
    <col min="9" max="9" width="12.875" style="0" customWidth="1"/>
    <col min="10" max="10" width="13.625" style="0" customWidth="1"/>
    <col min="11" max="12" width="11.75390625" style="0" customWidth="1"/>
    <col min="13" max="13" width="21.75390625" style="0" customWidth="1"/>
    <col min="14" max="14" width="11.75390625" style="0" customWidth="1"/>
    <col min="15" max="15" width="16.00390625" style="0" customWidth="1"/>
  </cols>
  <sheetData>
    <row r="1" ht="12.75">
      <c r="O1" s="414" t="s">
        <v>236</v>
      </c>
    </row>
    <row r="2" spans="2:15" s="415" customFormat="1" ht="54.75" customHeight="1">
      <c r="B2" s="931" t="s">
        <v>445</v>
      </c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</row>
    <row r="3" spans="2:15" s="416" customFormat="1" ht="17.25" customHeight="1">
      <c r="B3" s="932" t="s">
        <v>213</v>
      </c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</row>
    <row r="4" spans="2:15" s="415" customFormat="1" ht="17.25" customHeight="1"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s="208" customFormat="1" ht="15.75" customHeight="1">
      <c r="A5" s="274"/>
      <c r="B5" s="904" t="s">
        <v>136</v>
      </c>
      <c r="C5" s="904"/>
      <c r="D5" s="274"/>
      <c r="E5" s="274"/>
      <c r="F5" s="221"/>
      <c r="G5" s="222"/>
      <c r="H5" s="222"/>
      <c r="I5" s="222"/>
      <c r="J5" s="222"/>
      <c r="K5" s="222"/>
      <c r="L5" s="222"/>
      <c r="M5" s="274"/>
      <c r="N5" s="274"/>
      <c r="O5" s="274"/>
    </row>
    <row r="6" spans="1:15" s="208" customFormat="1" ht="15.75">
      <c r="A6" s="274"/>
      <c r="B6" s="275" t="s">
        <v>132</v>
      </c>
      <c r="C6" s="275"/>
      <c r="D6" s="274"/>
      <c r="E6" s="274"/>
      <c r="F6" s="221"/>
      <c r="G6" s="222"/>
      <c r="H6" s="222"/>
      <c r="I6" s="222"/>
      <c r="J6" s="222"/>
      <c r="K6" s="222"/>
      <c r="L6" s="222"/>
      <c r="M6" s="274"/>
      <c r="N6" s="274"/>
      <c r="O6" s="274"/>
    </row>
    <row r="7" spans="1:23" s="420" customFormat="1" ht="15" customHeight="1">
      <c r="A7" s="418"/>
      <c r="B7" s="929" t="s">
        <v>237</v>
      </c>
      <c r="C7" s="929"/>
      <c r="D7" s="929"/>
      <c r="E7" s="929"/>
      <c r="F7" s="929"/>
      <c r="G7" s="929"/>
      <c r="H7" s="929"/>
      <c r="I7" s="929"/>
      <c r="J7" s="929"/>
      <c r="K7" s="929"/>
      <c r="L7" s="929"/>
      <c r="M7" s="929"/>
      <c r="N7" s="929"/>
      <c r="O7" s="419"/>
      <c r="P7" s="419"/>
      <c r="Q7" s="418"/>
      <c r="R7" s="418"/>
      <c r="S7" s="418"/>
      <c r="T7" s="418"/>
      <c r="U7" s="418"/>
      <c r="V7" s="418"/>
      <c r="W7" s="418"/>
    </row>
    <row r="8" spans="1:15" ht="11.25" customHeight="1">
      <c r="A8"/>
      <c r="B8"/>
      <c r="C8"/>
      <c r="D8"/>
      <c r="E8"/>
      <c r="F8" s="930"/>
      <c r="G8" s="930"/>
      <c r="H8" s="930"/>
      <c r="I8" s="930"/>
      <c r="J8" s="930"/>
      <c r="K8" s="930"/>
      <c r="L8" s="930"/>
      <c r="M8" s="930"/>
      <c r="N8" s="930"/>
      <c r="O8" s="930"/>
    </row>
    <row r="9" spans="1:15" s="421" customFormat="1" ht="34.5" customHeight="1">
      <c r="A9" s="922" t="s">
        <v>105</v>
      </c>
      <c r="B9" s="928" t="s">
        <v>106</v>
      </c>
      <c r="C9" s="922" t="s">
        <v>107</v>
      </c>
      <c r="D9" s="922" t="s">
        <v>108</v>
      </c>
      <c r="E9" s="922"/>
      <c r="F9" s="890" t="s">
        <v>137</v>
      </c>
      <c r="G9" s="890"/>
      <c r="H9" s="890"/>
      <c r="I9" s="890"/>
      <c r="J9" s="890"/>
      <c r="K9" s="903" t="s">
        <v>446</v>
      </c>
      <c r="L9" s="903"/>
      <c r="M9" s="903"/>
      <c r="N9" s="903"/>
      <c r="O9" s="903"/>
    </row>
    <row r="10" spans="1:15" s="421" customFormat="1" ht="93.75" customHeight="1">
      <c r="A10" s="922"/>
      <c r="B10" s="928"/>
      <c r="C10" s="922"/>
      <c r="D10" s="922"/>
      <c r="E10" s="922"/>
      <c r="F10" s="422" t="s">
        <v>238</v>
      </c>
      <c r="G10" s="422" t="s">
        <v>111</v>
      </c>
      <c r="H10" s="422" t="s">
        <v>239</v>
      </c>
      <c r="I10" s="422" t="s">
        <v>240</v>
      </c>
      <c r="J10" s="422" t="s">
        <v>241</v>
      </c>
      <c r="K10" s="422" t="s">
        <v>238</v>
      </c>
      <c r="L10" s="422" t="s">
        <v>111</v>
      </c>
      <c r="M10" s="422" t="s">
        <v>239</v>
      </c>
      <c r="N10" s="422" t="s">
        <v>240</v>
      </c>
      <c r="O10" s="422" t="s">
        <v>242</v>
      </c>
    </row>
    <row r="11" spans="1:15" s="425" customFormat="1" ht="15.75" customHeight="1">
      <c r="A11" s="922"/>
      <c r="B11" s="928"/>
      <c r="C11" s="922"/>
      <c r="D11" s="922"/>
      <c r="E11" s="423"/>
      <c r="F11" s="422" t="s">
        <v>243</v>
      </c>
      <c r="G11" s="422" t="s">
        <v>117</v>
      </c>
      <c r="H11" s="424" t="s">
        <v>118</v>
      </c>
      <c r="I11" s="424" t="s">
        <v>35</v>
      </c>
      <c r="J11" s="422" t="s">
        <v>244</v>
      </c>
      <c r="K11" s="422" t="s">
        <v>245</v>
      </c>
      <c r="L11" s="422" t="s">
        <v>117</v>
      </c>
      <c r="M11" s="424" t="s">
        <v>118</v>
      </c>
      <c r="N11" s="424" t="s">
        <v>35</v>
      </c>
      <c r="O11" s="422" t="s">
        <v>244</v>
      </c>
    </row>
    <row r="12" spans="1:15" s="428" customFormat="1" ht="11.25">
      <c r="A12" s="426">
        <v>1</v>
      </c>
      <c r="B12" s="427">
        <f>A12+1</f>
        <v>2</v>
      </c>
      <c r="C12" s="427">
        <f>B12+1</f>
        <v>3</v>
      </c>
      <c r="D12" s="427">
        <f>C12+1</f>
        <v>4</v>
      </c>
      <c r="E12" s="427" t="s">
        <v>178</v>
      </c>
      <c r="F12" s="427">
        <f>D12+1</f>
        <v>5</v>
      </c>
      <c r="G12" s="427">
        <f aca="true" t="shared" si="0" ref="G12:O12">F12+1</f>
        <v>6</v>
      </c>
      <c r="H12" s="426">
        <f t="shared" si="0"/>
        <v>7</v>
      </c>
      <c r="I12" s="427">
        <f t="shared" si="0"/>
        <v>8</v>
      </c>
      <c r="J12" s="427">
        <f t="shared" si="0"/>
        <v>9</v>
      </c>
      <c r="K12" s="427">
        <f t="shared" si="0"/>
        <v>10</v>
      </c>
      <c r="L12" s="427">
        <f t="shared" si="0"/>
        <v>11</v>
      </c>
      <c r="M12" s="427">
        <f t="shared" si="0"/>
        <v>12</v>
      </c>
      <c r="N12" s="427">
        <f t="shared" si="0"/>
        <v>13</v>
      </c>
      <c r="O12" s="427">
        <f t="shared" si="0"/>
        <v>14</v>
      </c>
    </row>
    <row r="13" spans="1:15" s="271" customFormat="1" ht="27.75" customHeight="1">
      <c r="A13" s="429">
        <v>1</v>
      </c>
      <c r="B13" s="429" t="s">
        <v>119</v>
      </c>
      <c r="C13" s="429" t="s">
        <v>120</v>
      </c>
      <c r="D13" s="429">
        <v>11</v>
      </c>
      <c r="E13" s="927" t="s">
        <v>179</v>
      </c>
      <c r="F13" s="430">
        <v>4.22</v>
      </c>
      <c r="G13" s="429">
        <v>5</v>
      </c>
      <c r="H13" s="837">
        <v>0.66304</v>
      </c>
      <c r="I13" s="340">
        <v>31</v>
      </c>
      <c r="J13" s="430">
        <f>ROUND(F13*G13*I13/1000,5)</f>
        <v>0.6541</v>
      </c>
      <c r="K13" s="430">
        <v>4.22</v>
      </c>
      <c r="L13" s="429">
        <v>5</v>
      </c>
      <c r="M13" s="837">
        <v>0.66304</v>
      </c>
      <c r="N13" s="431">
        <f>I13</f>
        <v>31</v>
      </c>
      <c r="O13" s="430">
        <f>ROUND(K13*L13*N13/1000,5)</f>
        <v>0.6541</v>
      </c>
    </row>
    <row r="14" spans="1:15" s="271" customFormat="1" ht="12.75">
      <c r="A14" s="429">
        <v>2</v>
      </c>
      <c r="B14" s="429"/>
      <c r="C14" s="429"/>
      <c r="D14" s="429"/>
      <c r="E14" s="927"/>
      <c r="F14" s="430">
        <v>2.62</v>
      </c>
      <c r="G14" s="429">
        <v>5</v>
      </c>
      <c r="H14" s="837">
        <v>0.06435</v>
      </c>
      <c r="I14" s="340">
        <v>1</v>
      </c>
      <c r="J14" s="430">
        <f>ROUND(F14*G14*I14/1000,5)</f>
        <v>0.0131</v>
      </c>
      <c r="K14" s="430">
        <f>F14</f>
        <v>2.62</v>
      </c>
      <c r="L14" s="429">
        <v>5</v>
      </c>
      <c r="M14" s="837">
        <v>0.06435</v>
      </c>
      <c r="N14" s="431">
        <f>I14</f>
        <v>1</v>
      </c>
      <c r="O14" s="430">
        <f>ROUND(K14*L14*N14/1000,5)</f>
        <v>0.0131</v>
      </c>
    </row>
    <row r="15" spans="1:15" s="273" customFormat="1" ht="12.75">
      <c r="A15" s="432"/>
      <c r="B15" s="429"/>
      <c r="C15" s="429"/>
      <c r="D15" s="429"/>
      <c r="E15" s="927"/>
      <c r="F15" s="430"/>
      <c r="G15" s="429">
        <v>5</v>
      </c>
      <c r="H15" s="838"/>
      <c r="I15" s="429"/>
      <c r="J15" s="430">
        <f>ROUND(F15*G15*I15/1000,5)</f>
        <v>0</v>
      </c>
      <c r="K15" s="430"/>
      <c r="L15" s="429">
        <v>5</v>
      </c>
      <c r="M15" s="838"/>
      <c r="N15" s="431">
        <f>I15</f>
        <v>0</v>
      </c>
      <c r="O15" s="430">
        <f>ROUND(K15*L15*N15/1000,5)</f>
        <v>0</v>
      </c>
    </row>
    <row r="16" spans="1:15" s="273" customFormat="1" ht="12.75">
      <c r="A16" s="432"/>
      <c r="B16" s="433"/>
      <c r="C16" s="434"/>
      <c r="D16" s="429"/>
      <c r="E16" s="429"/>
      <c r="F16" s="430"/>
      <c r="G16" s="429"/>
      <c r="H16" s="838"/>
      <c r="I16" s="429"/>
      <c r="J16" s="430"/>
      <c r="K16" s="430"/>
      <c r="L16" s="429"/>
      <c r="M16" s="838"/>
      <c r="N16" s="429"/>
      <c r="O16" s="430"/>
    </row>
    <row r="17" spans="1:15" s="273" customFormat="1" ht="12.75">
      <c r="A17" s="432"/>
      <c r="B17" s="433"/>
      <c r="C17" s="434"/>
      <c r="D17" s="429"/>
      <c r="E17" s="429"/>
      <c r="F17" s="430"/>
      <c r="G17" s="429"/>
      <c r="H17" s="838"/>
      <c r="I17" s="429"/>
      <c r="J17" s="430"/>
      <c r="K17" s="430"/>
      <c r="L17" s="429"/>
      <c r="M17" s="838"/>
      <c r="N17" s="429"/>
      <c r="O17" s="430"/>
    </row>
    <row r="18" spans="1:15" s="273" customFormat="1" ht="12.75">
      <c r="A18" s="432"/>
      <c r="B18" s="433"/>
      <c r="C18" s="434"/>
      <c r="D18" s="429"/>
      <c r="E18" s="325" t="s">
        <v>180</v>
      </c>
      <c r="F18" s="325">
        <v>346.45</v>
      </c>
      <c r="G18" s="331">
        <v>5</v>
      </c>
      <c r="H18" s="839">
        <v>3.86277</v>
      </c>
      <c r="I18" s="829">
        <v>175</v>
      </c>
      <c r="J18" s="325">
        <f>ROUND(F18*G18*I18/1000,5)</f>
        <v>303.14375</v>
      </c>
      <c r="K18" s="325">
        <f>F18</f>
        <v>346.45</v>
      </c>
      <c r="L18" s="331">
        <v>5</v>
      </c>
      <c r="M18" s="839">
        <v>3.86277</v>
      </c>
      <c r="N18" s="824">
        <f>I18</f>
        <v>175</v>
      </c>
      <c r="O18" s="325">
        <f>ROUND(K18*L18*N18/1000,5)</f>
        <v>303.14375</v>
      </c>
    </row>
    <row r="19" spans="1:15" s="273" customFormat="1" ht="12.75">
      <c r="A19" s="432"/>
      <c r="B19" s="433"/>
      <c r="C19" s="434"/>
      <c r="D19" s="429"/>
      <c r="E19" s="357" t="s">
        <v>181</v>
      </c>
      <c r="F19" s="435"/>
      <c r="G19" s="357">
        <v>5</v>
      </c>
      <c r="H19" s="436"/>
      <c r="I19" s="436"/>
      <c r="J19" s="435">
        <f>ROUND(F19*G19*H19/1000,5)</f>
        <v>0</v>
      </c>
      <c r="K19" s="435">
        <f>F19</f>
        <v>0</v>
      </c>
      <c r="L19" s="357">
        <v>5</v>
      </c>
      <c r="M19" s="436"/>
      <c r="N19" s="436"/>
      <c r="O19" s="435">
        <f>ROUND(K19*L19*M19/1000,5)</f>
        <v>0</v>
      </c>
    </row>
    <row r="20" spans="1:15" s="273" customFormat="1" ht="12.75">
      <c r="A20" s="432"/>
      <c r="B20" s="433"/>
      <c r="C20" s="434"/>
      <c r="D20" s="429"/>
      <c r="E20" s="429"/>
      <c r="F20" s="430"/>
      <c r="G20" s="429"/>
      <c r="H20" s="437"/>
      <c r="I20" s="429"/>
      <c r="J20" s="430"/>
      <c r="K20" s="430"/>
      <c r="L20" s="429"/>
      <c r="M20" s="431"/>
      <c r="N20" s="429"/>
      <c r="O20" s="430"/>
    </row>
    <row r="21" spans="1:15" s="443" customFormat="1" ht="25.5" customHeight="1">
      <c r="A21" s="438"/>
      <c r="B21" s="924" t="s">
        <v>246</v>
      </c>
      <c r="C21" s="924"/>
      <c r="D21" s="439">
        <f>SUM(D13:D20)</f>
        <v>11</v>
      </c>
      <c r="E21" s="439"/>
      <c r="F21" s="440">
        <f>ROUND(J21/I21/G21*1000,5)</f>
        <v>293.53715</v>
      </c>
      <c r="G21" s="441">
        <v>5</v>
      </c>
      <c r="H21" s="439">
        <f>SUM(H13:H20)-H19</f>
        <v>4.59016</v>
      </c>
      <c r="I21" s="439">
        <f>SUM(I13:I20)-I19</f>
        <v>207</v>
      </c>
      <c r="J21" s="442">
        <f>SUM(J13:J20)</f>
        <v>303.81095</v>
      </c>
      <c r="K21" s="440">
        <f>ROUND(O21/N21/L21*1000,5)</f>
        <v>293.53715</v>
      </c>
      <c r="L21" s="441">
        <v>5</v>
      </c>
      <c r="M21" s="439">
        <f>SUM(M13:M20)-M19</f>
        <v>4.59016</v>
      </c>
      <c r="N21" s="439">
        <f>SUM(N13:N20)-N19</f>
        <v>207</v>
      </c>
      <c r="O21" s="442">
        <f>SUM(O13:O20)</f>
        <v>303.81095</v>
      </c>
    </row>
    <row r="22" spans="1:15" s="443" customFormat="1" ht="13.5" customHeight="1">
      <c r="A22" s="195"/>
      <c r="B22" s="444"/>
      <c r="C22" s="444"/>
      <c r="D22" s="445"/>
      <c r="E22" s="445"/>
      <c r="F22" s="446"/>
      <c r="G22" s="447"/>
      <c r="H22" s="448"/>
      <c r="I22" s="448"/>
      <c r="J22" s="449"/>
      <c r="K22" s="449"/>
      <c r="L22" s="449"/>
      <c r="M22" s="449"/>
      <c r="N22" s="449"/>
      <c r="O22" s="449"/>
    </row>
    <row r="23" spans="1:15" s="443" customFormat="1" ht="12.75">
      <c r="A23" s="195"/>
      <c r="B23" s="444"/>
      <c r="C23" s="444"/>
      <c r="D23" s="444"/>
      <c r="E23" s="444"/>
      <c r="F23" s="450"/>
      <c r="G23" s="447"/>
      <c r="H23" s="448"/>
      <c r="I23" s="448"/>
      <c r="J23" s="449"/>
      <c r="K23" s="449"/>
      <c r="L23" s="449"/>
      <c r="M23" s="449"/>
      <c r="N23" s="449"/>
      <c r="O23" s="449"/>
    </row>
    <row r="24" spans="1:23" s="455" customFormat="1" ht="18" customHeight="1">
      <c r="A24" s="451"/>
      <c r="B24" s="452" t="s">
        <v>247</v>
      </c>
      <c r="C24" s="451"/>
      <c r="D24" s="451"/>
      <c r="E24" s="451"/>
      <c r="F24" s="451"/>
      <c r="G24" s="453"/>
      <c r="H24" s="454"/>
      <c r="I24" s="454"/>
      <c r="J24" s="454"/>
      <c r="K24" s="454"/>
      <c r="L24" s="454"/>
      <c r="M24" s="454"/>
      <c r="N24" s="454"/>
      <c r="O24" s="454"/>
      <c r="P24" s="454"/>
      <c r="Q24" s="451"/>
      <c r="R24" s="451"/>
      <c r="S24" s="451"/>
      <c r="T24" s="451"/>
      <c r="U24" s="451"/>
      <c r="V24" s="451"/>
      <c r="W24" s="451"/>
    </row>
    <row r="25" spans="6:15" s="343" customFormat="1" ht="13.5" customHeight="1">
      <c r="F25" s="925"/>
      <c r="G25" s="925"/>
      <c r="H25" s="925"/>
      <c r="I25" s="925"/>
      <c r="J25" s="925"/>
      <c r="K25" s="925"/>
      <c r="L25" s="925"/>
      <c r="M25" s="925"/>
      <c r="N25" s="925"/>
      <c r="O25" s="925"/>
    </row>
    <row r="26" spans="1:15" s="421" customFormat="1" ht="34.5" customHeight="1">
      <c r="A26" s="889" t="s">
        <v>105</v>
      </c>
      <c r="B26" s="926" t="s">
        <v>106</v>
      </c>
      <c r="C26" s="889" t="s">
        <v>107</v>
      </c>
      <c r="D26" s="889" t="s">
        <v>108</v>
      </c>
      <c r="E26" s="456"/>
      <c r="F26" s="890" t="s">
        <v>137</v>
      </c>
      <c r="G26" s="890"/>
      <c r="H26" s="890"/>
      <c r="I26" s="890"/>
      <c r="J26" s="890"/>
      <c r="K26" s="903" t="s">
        <v>446</v>
      </c>
      <c r="L26" s="903"/>
      <c r="M26" s="903"/>
      <c r="N26" s="903"/>
      <c r="O26" s="903"/>
    </row>
    <row r="27" spans="1:15" s="460" customFormat="1" ht="91.5" customHeight="1">
      <c r="A27" s="889"/>
      <c r="B27" s="926"/>
      <c r="C27" s="889"/>
      <c r="D27" s="889"/>
      <c r="E27" s="350"/>
      <c r="F27" s="248" t="s">
        <v>248</v>
      </c>
      <c r="G27" s="457" t="s">
        <v>111</v>
      </c>
      <c r="H27" s="457" t="s">
        <v>249</v>
      </c>
      <c r="I27" s="457" t="s">
        <v>240</v>
      </c>
      <c r="J27" s="458" t="s">
        <v>250</v>
      </c>
      <c r="K27" s="248" t="s">
        <v>251</v>
      </c>
      <c r="L27" s="457" t="s">
        <v>111</v>
      </c>
      <c r="M27" s="457" t="s">
        <v>249</v>
      </c>
      <c r="N27" s="459" t="s">
        <v>240</v>
      </c>
      <c r="O27" s="458" t="s">
        <v>252</v>
      </c>
    </row>
    <row r="28" spans="1:15" s="464" customFormat="1" ht="15.75" customHeight="1">
      <c r="A28" s="889"/>
      <c r="B28" s="926"/>
      <c r="C28" s="889"/>
      <c r="D28" s="889"/>
      <c r="E28" s="352"/>
      <c r="F28" s="461" t="s">
        <v>253</v>
      </c>
      <c r="G28" s="461" t="s">
        <v>117</v>
      </c>
      <c r="H28" s="311" t="s">
        <v>118</v>
      </c>
      <c r="I28" s="311" t="s">
        <v>35</v>
      </c>
      <c r="J28" s="462" t="s">
        <v>244</v>
      </c>
      <c r="K28" s="463" t="s">
        <v>245</v>
      </c>
      <c r="L28" s="461" t="s">
        <v>117</v>
      </c>
      <c r="M28" s="311" t="s">
        <v>118</v>
      </c>
      <c r="N28" s="311" t="s">
        <v>35</v>
      </c>
      <c r="O28" s="462" t="s">
        <v>244</v>
      </c>
    </row>
    <row r="29" spans="1:15" s="467" customFormat="1" ht="11.25">
      <c r="A29" s="465">
        <v>1</v>
      </c>
      <c r="B29" s="225">
        <f>A29+1</f>
        <v>2</v>
      </c>
      <c r="C29" s="225">
        <f>B29+1</f>
        <v>3</v>
      </c>
      <c r="D29" s="225">
        <f>C29+1</f>
        <v>4</v>
      </c>
      <c r="E29" s="225" t="s">
        <v>178</v>
      </c>
      <c r="F29" s="466">
        <f>D29+1</f>
        <v>5</v>
      </c>
      <c r="G29" s="466">
        <f aca="true" t="shared" si="1" ref="G29:O29">F29+1</f>
        <v>6</v>
      </c>
      <c r="H29" s="465">
        <f t="shared" si="1"/>
        <v>7</v>
      </c>
      <c r="I29" s="465">
        <f t="shared" si="1"/>
        <v>8</v>
      </c>
      <c r="J29" s="426">
        <f t="shared" si="1"/>
        <v>9</v>
      </c>
      <c r="K29" s="466">
        <f t="shared" si="1"/>
        <v>10</v>
      </c>
      <c r="L29" s="466">
        <f t="shared" si="1"/>
        <v>11</v>
      </c>
      <c r="M29" s="465">
        <f t="shared" si="1"/>
        <v>12</v>
      </c>
      <c r="N29" s="465">
        <f t="shared" si="1"/>
        <v>13</v>
      </c>
      <c r="O29" s="426">
        <f t="shared" si="1"/>
        <v>14</v>
      </c>
    </row>
    <row r="30" spans="1:15" s="414" customFormat="1" ht="12.75">
      <c r="A30" s="468">
        <v>1</v>
      </c>
      <c r="B30" s="468"/>
      <c r="C30" s="468"/>
      <c r="D30" s="468"/>
      <c r="E30" s="468"/>
      <c r="F30" s="469"/>
      <c r="G30" s="468">
        <v>5</v>
      </c>
      <c r="H30" s="470"/>
      <c r="I30" s="471"/>
      <c r="J30" s="430">
        <f>ROUND(F30*G30/1000,5)</f>
        <v>0</v>
      </c>
      <c r="K30" s="469">
        <f>F30</f>
        <v>0</v>
      </c>
      <c r="L30" s="468">
        <v>5</v>
      </c>
      <c r="M30" s="470">
        <f>H30</f>
        <v>0</v>
      </c>
      <c r="N30" s="470">
        <f>I30</f>
        <v>0</v>
      </c>
      <c r="O30" s="430">
        <f>ROUND(K30*L30/1000,5)</f>
        <v>0</v>
      </c>
    </row>
    <row r="31" spans="1:15" s="414" customFormat="1" ht="12.75">
      <c r="A31" s="468"/>
      <c r="B31" s="468"/>
      <c r="C31" s="468"/>
      <c r="D31" s="468"/>
      <c r="E31" s="468"/>
      <c r="F31" s="469"/>
      <c r="G31" s="468">
        <v>5</v>
      </c>
      <c r="H31" s="470"/>
      <c r="I31" s="471"/>
      <c r="J31" s="430">
        <f>ROUND(F31*G31/1000,5)</f>
        <v>0</v>
      </c>
      <c r="K31" s="469">
        <f>F31</f>
        <v>0</v>
      </c>
      <c r="L31" s="468">
        <v>5</v>
      </c>
      <c r="M31" s="470">
        <f>H31</f>
        <v>0</v>
      </c>
      <c r="N31" s="470">
        <f>I31</f>
        <v>0</v>
      </c>
      <c r="O31" s="430">
        <f>ROUND(K31*L31/1000,5)</f>
        <v>0</v>
      </c>
    </row>
    <row r="32" spans="1:15" s="473" customFormat="1" ht="12.75">
      <c r="A32" s="234"/>
      <c r="B32" s="468"/>
      <c r="C32" s="468"/>
      <c r="D32" s="468"/>
      <c r="E32" s="468"/>
      <c r="F32" s="472"/>
      <c r="G32" s="468">
        <v>5</v>
      </c>
      <c r="H32" s="287"/>
      <c r="I32" s="471"/>
      <c r="J32" s="430">
        <f>ROUND(F32*G32/1000,5)</f>
        <v>0</v>
      </c>
      <c r="K32" s="472"/>
      <c r="L32" s="468">
        <v>5</v>
      </c>
      <c r="M32" s="470"/>
      <c r="N32" s="468"/>
      <c r="O32" s="430">
        <f>ROUND(K32*L32/1000,5)</f>
        <v>0</v>
      </c>
    </row>
    <row r="33" spans="1:15" s="473" customFormat="1" ht="12.75">
      <c r="A33" s="234"/>
      <c r="B33" s="474"/>
      <c r="C33" s="475"/>
      <c r="D33" s="468"/>
      <c r="E33" s="468"/>
      <c r="F33" s="472"/>
      <c r="G33" s="468"/>
      <c r="H33" s="287"/>
      <c r="I33" s="471"/>
      <c r="J33" s="430"/>
      <c r="K33" s="472"/>
      <c r="L33" s="468"/>
      <c r="M33" s="470"/>
      <c r="N33" s="468"/>
      <c r="O33" s="430"/>
    </row>
    <row r="34" spans="1:15" s="348" customFormat="1" ht="25.5" customHeight="1">
      <c r="A34" s="476"/>
      <c r="B34" s="923" t="s">
        <v>246</v>
      </c>
      <c r="C34" s="923"/>
      <c r="D34" s="477">
        <f>SUM(D30:D32)</f>
        <v>0</v>
      </c>
      <c r="E34" s="477"/>
      <c r="F34" s="253" t="e">
        <f>ROUND(J34/I34/G34*1000,5)</f>
        <v>#DIV/0!</v>
      </c>
      <c r="G34" s="478">
        <v>5</v>
      </c>
      <c r="H34" s="479">
        <f>SUM(H30:H32)</f>
        <v>0</v>
      </c>
      <c r="I34" s="480">
        <f>SUM(I30:I32)</f>
        <v>0</v>
      </c>
      <c r="J34" s="481">
        <f>SUM(J30:J32)</f>
        <v>0</v>
      </c>
      <c r="K34" s="253" t="e">
        <f>ROUND(O34/N34/L34*1000,5)</f>
        <v>#DIV/0!</v>
      </c>
      <c r="L34" s="478">
        <v>5</v>
      </c>
      <c r="M34" s="479">
        <f>SUM(M30:M32)</f>
        <v>0</v>
      </c>
      <c r="N34" s="480">
        <f>SUM(N30:N32)</f>
        <v>0</v>
      </c>
      <c r="O34" s="481">
        <f>SUM(O30:O32)</f>
        <v>0</v>
      </c>
    </row>
    <row r="35" spans="1:15" s="348" customFormat="1" ht="25.5" customHeight="1">
      <c r="A35" s="476"/>
      <c r="B35" s="482"/>
      <c r="C35" s="483"/>
      <c r="D35" s="477"/>
      <c r="E35" s="477"/>
      <c r="F35" s="253"/>
      <c r="G35" s="478"/>
      <c r="H35" s="479"/>
      <c r="I35" s="480"/>
      <c r="J35" s="484"/>
      <c r="K35" s="253"/>
      <c r="L35" s="478"/>
      <c r="M35" s="479"/>
      <c r="N35" s="480"/>
      <c r="O35" s="484"/>
    </row>
    <row r="36" spans="1:15" s="348" customFormat="1" ht="14.25" customHeight="1">
      <c r="A36" s="193"/>
      <c r="B36" s="361"/>
      <c r="C36" s="361"/>
      <c r="D36" s="361"/>
      <c r="E36" s="361"/>
      <c r="F36" s="261"/>
      <c r="G36" s="485"/>
      <c r="H36" s="486"/>
      <c r="I36" s="487"/>
      <c r="J36" s="488"/>
      <c r="K36" s="261"/>
      <c r="L36" s="485"/>
      <c r="M36" s="486"/>
      <c r="N36" s="487"/>
      <c r="O36" s="488"/>
    </row>
    <row r="37" spans="1:15" s="208" customFormat="1" ht="15.75">
      <c r="A37" s="274"/>
      <c r="B37" s="904" t="s">
        <v>136</v>
      </c>
      <c r="C37" s="904"/>
      <c r="D37" s="274"/>
      <c r="E37" s="274"/>
      <c r="F37" s="221"/>
      <c r="G37" s="222"/>
      <c r="H37" s="222"/>
      <c r="I37" s="222"/>
      <c r="J37" s="222"/>
      <c r="K37" s="222"/>
      <c r="L37" s="222"/>
      <c r="M37" s="274"/>
      <c r="N37" s="274"/>
      <c r="O37" s="274"/>
    </row>
    <row r="38" spans="1:15" s="208" customFormat="1" ht="15.75">
      <c r="A38" s="274"/>
      <c r="B38" s="275" t="s">
        <v>128</v>
      </c>
      <c r="C38" s="275"/>
      <c r="D38" s="274"/>
      <c r="E38" s="274"/>
      <c r="F38" s="221"/>
      <c r="G38" s="222"/>
      <c r="H38" s="222"/>
      <c r="I38" s="222"/>
      <c r="J38" s="222"/>
      <c r="K38" s="222"/>
      <c r="L38" s="222"/>
      <c r="M38" s="274"/>
      <c r="N38" s="274"/>
      <c r="O38" s="274"/>
    </row>
    <row r="39" spans="1:23" s="420" customFormat="1" ht="15" customHeight="1">
      <c r="A39" s="418"/>
      <c r="B39" s="929" t="s">
        <v>237</v>
      </c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419"/>
      <c r="P39" s="419"/>
      <c r="Q39" s="418"/>
      <c r="R39" s="418"/>
      <c r="S39" s="418"/>
      <c r="T39" s="418"/>
      <c r="U39" s="418"/>
      <c r="V39" s="418"/>
      <c r="W39" s="418"/>
    </row>
    <row r="40" spans="1:15" ht="11.25" customHeight="1">
      <c r="A40"/>
      <c r="B40"/>
      <c r="C40"/>
      <c r="D40"/>
      <c r="E40"/>
      <c r="F40" s="930"/>
      <c r="G40" s="930"/>
      <c r="H40" s="930"/>
      <c r="I40" s="930"/>
      <c r="J40" s="930"/>
      <c r="K40" s="930"/>
      <c r="L40" s="930"/>
      <c r="M40" s="930"/>
      <c r="N40" s="930"/>
      <c r="O40" s="930"/>
    </row>
    <row r="41" spans="1:15" s="421" customFormat="1" ht="34.5" customHeight="1">
      <c r="A41" s="922" t="s">
        <v>105</v>
      </c>
      <c r="B41" s="928" t="s">
        <v>106</v>
      </c>
      <c r="C41" s="922" t="s">
        <v>107</v>
      </c>
      <c r="D41" s="922" t="s">
        <v>108</v>
      </c>
      <c r="E41" s="922"/>
      <c r="F41" s="890" t="s">
        <v>129</v>
      </c>
      <c r="G41" s="890"/>
      <c r="H41" s="890"/>
      <c r="I41" s="890"/>
      <c r="J41" s="890"/>
      <c r="K41" s="903" t="s">
        <v>447</v>
      </c>
      <c r="L41" s="903"/>
      <c r="M41" s="903"/>
      <c r="N41" s="903"/>
      <c r="O41" s="903"/>
    </row>
    <row r="42" spans="1:15" s="421" customFormat="1" ht="93.75" customHeight="1">
      <c r="A42" s="922"/>
      <c r="B42" s="928"/>
      <c r="C42" s="922"/>
      <c r="D42" s="922"/>
      <c r="E42" s="922"/>
      <c r="F42" s="422" t="s">
        <v>238</v>
      </c>
      <c r="G42" s="422" t="s">
        <v>111</v>
      </c>
      <c r="H42" s="422" t="s">
        <v>239</v>
      </c>
      <c r="I42" s="422" t="s">
        <v>240</v>
      </c>
      <c r="J42" s="422" t="s">
        <v>241</v>
      </c>
      <c r="K42" s="422" t="s">
        <v>238</v>
      </c>
      <c r="L42" s="422" t="s">
        <v>111</v>
      </c>
      <c r="M42" s="422" t="s">
        <v>239</v>
      </c>
      <c r="N42" s="422" t="s">
        <v>240</v>
      </c>
      <c r="O42" s="422" t="s">
        <v>242</v>
      </c>
    </row>
    <row r="43" spans="1:15" s="425" customFormat="1" ht="15.75" customHeight="1">
      <c r="A43" s="922"/>
      <c r="B43" s="928"/>
      <c r="C43" s="922"/>
      <c r="D43" s="922"/>
      <c r="E43" s="423"/>
      <c r="F43" s="422" t="s">
        <v>243</v>
      </c>
      <c r="G43" s="422" t="s">
        <v>117</v>
      </c>
      <c r="H43" s="424" t="s">
        <v>118</v>
      </c>
      <c r="I43" s="424" t="s">
        <v>35</v>
      </c>
      <c r="J43" s="422" t="s">
        <v>244</v>
      </c>
      <c r="K43" s="422" t="s">
        <v>245</v>
      </c>
      <c r="L43" s="422" t="s">
        <v>117</v>
      </c>
      <c r="M43" s="424" t="s">
        <v>118</v>
      </c>
      <c r="N43" s="424" t="s">
        <v>35</v>
      </c>
      <c r="O43" s="422" t="s">
        <v>244</v>
      </c>
    </row>
    <row r="44" spans="1:15" s="428" customFormat="1" ht="11.25">
      <c r="A44" s="426">
        <v>1</v>
      </c>
      <c r="B44" s="427">
        <f>A44+1</f>
        <v>2</v>
      </c>
      <c r="C44" s="427">
        <f>B44+1</f>
        <v>3</v>
      </c>
      <c r="D44" s="427">
        <f>C44+1</f>
        <v>4</v>
      </c>
      <c r="E44" s="427" t="s">
        <v>178</v>
      </c>
      <c r="F44" s="427">
        <f>D44+1</f>
        <v>5</v>
      </c>
      <c r="G44" s="427">
        <f aca="true" t="shared" si="2" ref="G44:O44">F44+1</f>
        <v>6</v>
      </c>
      <c r="H44" s="426">
        <f t="shared" si="2"/>
        <v>7</v>
      </c>
      <c r="I44" s="427">
        <f t="shared" si="2"/>
        <v>8</v>
      </c>
      <c r="J44" s="427">
        <f t="shared" si="2"/>
        <v>9</v>
      </c>
      <c r="K44" s="427">
        <f t="shared" si="2"/>
        <v>10</v>
      </c>
      <c r="L44" s="427">
        <f t="shared" si="2"/>
        <v>11</v>
      </c>
      <c r="M44" s="427">
        <f t="shared" si="2"/>
        <v>12</v>
      </c>
      <c r="N44" s="427">
        <f t="shared" si="2"/>
        <v>13</v>
      </c>
      <c r="O44" s="427">
        <f t="shared" si="2"/>
        <v>14</v>
      </c>
    </row>
    <row r="45" spans="1:15" s="271" customFormat="1" ht="25.5" customHeight="1">
      <c r="A45" s="429">
        <v>1</v>
      </c>
      <c r="B45" s="429" t="s">
        <v>119</v>
      </c>
      <c r="C45" s="429" t="s">
        <v>120</v>
      </c>
      <c r="D45" s="429">
        <v>11</v>
      </c>
      <c r="E45" s="927" t="s">
        <v>179</v>
      </c>
      <c r="F45" s="430">
        <v>4.22</v>
      </c>
      <c r="G45" s="429">
        <v>1</v>
      </c>
      <c r="H45" s="837">
        <v>0.66304</v>
      </c>
      <c r="I45" s="340">
        <v>31</v>
      </c>
      <c r="J45" s="430">
        <f>ROUND(F45*G45*I45/1000,5)</f>
        <v>0.13082</v>
      </c>
      <c r="K45" s="430">
        <v>4.22</v>
      </c>
      <c r="L45" s="429">
        <v>1</v>
      </c>
      <c r="M45" s="837">
        <v>0.66304</v>
      </c>
      <c r="N45" s="841">
        <v>31</v>
      </c>
      <c r="O45" s="430">
        <f>ROUND(K45*L45*N45/1000,5)</f>
        <v>0.13082</v>
      </c>
    </row>
    <row r="46" spans="1:15" s="271" customFormat="1" ht="12.75">
      <c r="A46" s="429">
        <v>2</v>
      </c>
      <c r="B46" s="429"/>
      <c r="C46" s="429"/>
      <c r="D46" s="429"/>
      <c r="E46" s="927"/>
      <c r="F46" s="430">
        <v>2.62</v>
      </c>
      <c r="G46" s="429">
        <v>1</v>
      </c>
      <c r="H46" s="837">
        <v>0.06435</v>
      </c>
      <c r="I46" s="340">
        <v>1</v>
      </c>
      <c r="J46" s="430">
        <f>ROUND(F46*G46*I46/1000,5)</f>
        <v>0.00262</v>
      </c>
      <c r="K46" s="430">
        <f>F46</f>
        <v>2.62</v>
      </c>
      <c r="L46" s="429">
        <v>1</v>
      </c>
      <c r="M46" s="837">
        <v>0.06435</v>
      </c>
      <c r="N46" s="841">
        <v>1</v>
      </c>
      <c r="O46" s="430">
        <f>ROUND(K46*L46*N46/1000,5)</f>
        <v>0.00262</v>
      </c>
    </row>
    <row r="47" spans="1:15" s="273" customFormat="1" ht="12.75">
      <c r="A47" s="432"/>
      <c r="B47" s="429"/>
      <c r="C47" s="429"/>
      <c r="D47" s="429"/>
      <c r="E47" s="927"/>
      <c r="F47" s="430"/>
      <c r="G47" s="429">
        <v>1</v>
      </c>
      <c r="H47" s="838"/>
      <c r="I47" s="429"/>
      <c r="J47" s="430">
        <f>ROUND(F47*G47*I47/1000,5)</f>
        <v>0</v>
      </c>
      <c r="K47" s="430"/>
      <c r="L47" s="429">
        <v>1</v>
      </c>
      <c r="M47" s="838"/>
      <c r="N47" s="431">
        <f>I47</f>
        <v>0</v>
      </c>
      <c r="O47" s="430">
        <f>ROUND(K47*L47*N47/1000,5)</f>
        <v>0</v>
      </c>
    </row>
    <row r="48" spans="1:15" s="273" customFormat="1" ht="12.75">
      <c r="A48" s="432"/>
      <c r="B48" s="433"/>
      <c r="C48" s="434"/>
      <c r="D48" s="429"/>
      <c r="E48" s="429"/>
      <c r="F48" s="430"/>
      <c r="G48" s="429"/>
      <c r="H48" s="838"/>
      <c r="I48" s="429"/>
      <c r="J48" s="430"/>
      <c r="K48" s="430"/>
      <c r="L48" s="429"/>
      <c r="M48" s="838"/>
      <c r="N48" s="429"/>
      <c r="O48" s="430"/>
    </row>
    <row r="49" spans="1:15" s="273" customFormat="1" ht="12.75">
      <c r="A49" s="432"/>
      <c r="B49" s="433"/>
      <c r="C49" s="434"/>
      <c r="D49" s="429"/>
      <c r="E49" s="429"/>
      <c r="F49" s="430"/>
      <c r="G49" s="429"/>
      <c r="H49" s="838"/>
      <c r="I49" s="429"/>
      <c r="J49" s="430"/>
      <c r="K49" s="430"/>
      <c r="L49" s="429"/>
      <c r="M49" s="838"/>
      <c r="N49" s="429"/>
      <c r="O49" s="430"/>
    </row>
    <row r="50" spans="1:15" s="273" customFormat="1" ht="12.75">
      <c r="A50" s="432"/>
      <c r="B50" s="433"/>
      <c r="C50" s="434"/>
      <c r="D50" s="429"/>
      <c r="E50" s="325" t="s">
        <v>180</v>
      </c>
      <c r="F50" s="325">
        <v>346.45</v>
      </c>
      <c r="G50" s="331">
        <v>1</v>
      </c>
      <c r="H50" s="839">
        <v>3.86277</v>
      </c>
      <c r="I50" s="829">
        <v>175</v>
      </c>
      <c r="J50" s="325">
        <f>ROUND(F50*G50*I50/1000,5)</f>
        <v>60.62875</v>
      </c>
      <c r="K50" s="325">
        <f>F50</f>
        <v>346.45</v>
      </c>
      <c r="L50" s="331">
        <v>1</v>
      </c>
      <c r="M50" s="839">
        <v>3.86277</v>
      </c>
      <c r="N50" s="840">
        <v>175</v>
      </c>
      <c r="O50" s="325">
        <f>ROUND(K50*L50*N50/1000,5)</f>
        <v>60.62875</v>
      </c>
    </row>
    <row r="51" spans="1:15" s="273" customFormat="1" ht="12.75">
      <c r="A51" s="432"/>
      <c r="B51" s="433"/>
      <c r="C51" s="434"/>
      <c r="D51" s="429"/>
      <c r="E51" s="357" t="s">
        <v>181</v>
      </c>
      <c r="F51" s="435"/>
      <c r="G51" s="357">
        <v>1</v>
      </c>
      <c r="H51" s="436"/>
      <c r="I51" s="436"/>
      <c r="J51" s="435">
        <f>ROUND(F51*G51*H51/1000,5)</f>
        <v>0</v>
      </c>
      <c r="K51" s="435">
        <f>F51</f>
        <v>0</v>
      </c>
      <c r="L51" s="357"/>
      <c r="M51" s="436"/>
      <c r="N51" s="436"/>
      <c r="O51" s="435">
        <f>ROUND(K51*L51*M51/1000,5)</f>
        <v>0</v>
      </c>
    </row>
    <row r="52" spans="1:15" s="273" customFormat="1" ht="12.75">
      <c r="A52" s="432"/>
      <c r="B52" s="433"/>
      <c r="C52" s="434"/>
      <c r="D52" s="429"/>
      <c r="E52" s="429"/>
      <c r="F52" s="430"/>
      <c r="G52" s="429"/>
      <c r="H52" s="437"/>
      <c r="I52" s="429"/>
      <c r="J52" s="430"/>
      <c r="K52" s="430"/>
      <c r="L52" s="429"/>
      <c r="M52" s="431"/>
      <c r="N52" s="429"/>
      <c r="O52" s="430"/>
    </row>
    <row r="53" spans="1:15" s="443" customFormat="1" ht="25.5" customHeight="1">
      <c r="A53" s="438"/>
      <c r="B53" s="924" t="s">
        <v>246</v>
      </c>
      <c r="C53" s="924"/>
      <c r="D53" s="439">
        <f>SUM(D45:D52)</f>
        <v>11</v>
      </c>
      <c r="E53" s="439"/>
      <c r="F53" s="440">
        <f>ROUND(J53/I53/G53*1000,5)</f>
        <v>293.53715</v>
      </c>
      <c r="G53" s="441">
        <v>1</v>
      </c>
      <c r="H53" s="439">
        <f>SUM(H45:H52)-H51</f>
        <v>4.59016</v>
      </c>
      <c r="I53" s="439">
        <f>SUM(I45:I52)-I51</f>
        <v>207</v>
      </c>
      <c r="J53" s="442">
        <f>SUM(J45:J52)</f>
        <v>60.76219</v>
      </c>
      <c r="K53" s="440">
        <f>ROUND(O53/N53/L53*1000,5)</f>
        <v>293.53715</v>
      </c>
      <c r="L53" s="441">
        <v>1</v>
      </c>
      <c r="M53" s="439">
        <f>SUM(M45:M52)-M51</f>
        <v>4.59016</v>
      </c>
      <c r="N53" s="439">
        <f>SUM(N45:N52)-N51</f>
        <v>207</v>
      </c>
      <c r="O53" s="439">
        <f>SUM(O45:O52)</f>
        <v>60.76219</v>
      </c>
    </row>
    <row r="54" spans="1:15" s="443" customFormat="1" ht="13.5" customHeight="1">
      <c r="A54" s="195"/>
      <c r="B54" s="444"/>
      <c r="C54" s="444"/>
      <c r="D54" s="445"/>
      <c r="E54" s="445"/>
      <c r="F54" s="446"/>
      <c r="G54" s="447"/>
      <c r="H54" s="448"/>
      <c r="I54" s="448"/>
      <c r="J54" s="449"/>
      <c r="K54" s="449"/>
      <c r="L54" s="449"/>
      <c r="M54" s="449"/>
      <c r="N54" s="449"/>
      <c r="O54" s="449"/>
    </row>
    <row r="55" spans="1:15" s="443" customFormat="1" ht="12.75">
      <c r="A55" s="195"/>
      <c r="B55" s="444"/>
      <c r="C55" s="444"/>
      <c r="D55" s="444"/>
      <c r="E55" s="444"/>
      <c r="F55" s="450"/>
      <c r="G55" s="447"/>
      <c r="H55" s="448"/>
      <c r="I55" s="448"/>
      <c r="J55" s="449"/>
      <c r="K55" s="449"/>
      <c r="L55" s="449"/>
      <c r="M55" s="449"/>
      <c r="N55" s="449"/>
      <c r="O55" s="449"/>
    </row>
    <row r="56" spans="1:23" s="455" customFormat="1" ht="18" customHeight="1">
      <c r="A56" s="451"/>
      <c r="B56" s="452" t="s">
        <v>247</v>
      </c>
      <c r="C56" s="451"/>
      <c r="D56" s="451"/>
      <c r="E56" s="451"/>
      <c r="F56" s="451"/>
      <c r="G56" s="453"/>
      <c r="H56" s="454"/>
      <c r="I56" s="454"/>
      <c r="J56" s="454"/>
      <c r="K56" s="454"/>
      <c r="L56" s="454"/>
      <c r="M56" s="454"/>
      <c r="N56" s="454"/>
      <c r="O56" s="454"/>
      <c r="P56" s="454"/>
      <c r="Q56" s="451"/>
      <c r="R56" s="451"/>
      <c r="S56" s="451"/>
      <c r="T56" s="451"/>
      <c r="U56" s="451"/>
      <c r="V56" s="451"/>
      <c r="W56" s="451"/>
    </row>
    <row r="57" spans="6:15" s="343" customFormat="1" ht="13.5" customHeight="1">
      <c r="F57" s="925"/>
      <c r="G57" s="925"/>
      <c r="H57" s="925"/>
      <c r="I57" s="925"/>
      <c r="J57" s="925"/>
      <c r="K57" s="925"/>
      <c r="L57" s="925"/>
      <c r="M57" s="925"/>
      <c r="N57" s="925"/>
      <c r="O57" s="925"/>
    </row>
    <row r="58" spans="1:15" s="421" customFormat="1" ht="34.5" customHeight="1">
      <c r="A58" s="889" t="s">
        <v>105</v>
      </c>
      <c r="B58" s="926" t="s">
        <v>106</v>
      </c>
      <c r="C58" s="889" t="s">
        <v>107</v>
      </c>
      <c r="D58" s="889" t="s">
        <v>108</v>
      </c>
      <c r="E58" s="456"/>
      <c r="F58" s="890" t="s">
        <v>129</v>
      </c>
      <c r="G58" s="890"/>
      <c r="H58" s="890"/>
      <c r="I58" s="890"/>
      <c r="J58" s="890"/>
      <c r="K58" s="903" t="s">
        <v>447</v>
      </c>
      <c r="L58" s="903"/>
      <c r="M58" s="903"/>
      <c r="N58" s="903"/>
      <c r="O58" s="903"/>
    </row>
    <row r="59" spans="1:15" s="460" customFormat="1" ht="91.5" customHeight="1">
      <c r="A59" s="889"/>
      <c r="B59" s="926"/>
      <c r="C59" s="889"/>
      <c r="D59" s="889"/>
      <c r="E59" s="350"/>
      <c r="F59" s="248" t="s">
        <v>248</v>
      </c>
      <c r="G59" s="457" t="s">
        <v>111</v>
      </c>
      <c r="H59" s="457" t="s">
        <v>249</v>
      </c>
      <c r="I59" s="457" t="s">
        <v>240</v>
      </c>
      <c r="J59" s="458" t="s">
        <v>250</v>
      </c>
      <c r="K59" s="248" t="s">
        <v>251</v>
      </c>
      <c r="L59" s="457" t="s">
        <v>111</v>
      </c>
      <c r="M59" s="457" t="s">
        <v>249</v>
      </c>
      <c r="N59" s="459" t="s">
        <v>240</v>
      </c>
      <c r="O59" s="458" t="s">
        <v>252</v>
      </c>
    </row>
    <row r="60" spans="1:15" s="464" customFormat="1" ht="15.75" customHeight="1">
      <c r="A60" s="889"/>
      <c r="B60" s="926"/>
      <c r="C60" s="889"/>
      <c r="D60" s="889"/>
      <c r="E60" s="352"/>
      <c r="F60" s="461" t="s">
        <v>253</v>
      </c>
      <c r="G60" s="461" t="s">
        <v>117</v>
      </c>
      <c r="H60" s="311" t="s">
        <v>118</v>
      </c>
      <c r="I60" s="311" t="s">
        <v>35</v>
      </c>
      <c r="J60" s="462" t="s">
        <v>244</v>
      </c>
      <c r="K60" s="463" t="s">
        <v>245</v>
      </c>
      <c r="L60" s="461" t="s">
        <v>117</v>
      </c>
      <c r="M60" s="311" t="s">
        <v>118</v>
      </c>
      <c r="N60" s="311" t="s">
        <v>35</v>
      </c>
      <c r="O60" s="462" t="s">
        <v>244</v>
      </c>
    </row>
    <row r="61" spans="1:15" s="467" customFormat="1" ht="11.25">
      <c r="A61" s="465">
        <v>1</v>
      </c>
      <c r="B61" s="225">
        <f>A61+1</f>
        <v>2</v>
      </c>
      <c r="C61" s="225">
        <f>B61+1</f>
        <v>3</v>
      </c>
      <c r="D61" s="225">
        <f>C61+1</f>
        <v>4</v>
      </c>
      <c r="E61" s="225" t="s">
        <v>178</v>
      </c>
      <c r="F61" s="466">
        <f>D61+1</f>
        <v>5</v>
      </c>
      <c r="G61" s="466">
        <f aca="true" t="shared" si="3" ref="G61:O61">F61+1</f>
        <v>6</v>
      </c>
      <c r="H61" s="465">
        <f t="shared" si="3"/>
        <v>7</v>
      </c>
      <c r="I61" s="465">
        <f t="shared" si="3"/>
        <v>8</v>
      </c>
      <c r="J61" s="426">
        <f t="shared" si="3"/>
        <v>9</v>
      </c>
      <c r="K61" s="466">
        <f t="shared" si="3"/>
        <v>10</v>
      </c>
      <c r="L61" s="466">
        <f t="shared" si="3"/>
        <v>11</v>
      </c>
      <c r="M61" s="465">
        <f t="shared" si="3"/>
        <v>12</v>
      </c>
      <c r="N61" s="465">
        <f t="shared" si="3"/>
        <v>13</v>
      </c>
      <c r="O61" s="426">
        <f t="shared" si="3"/>
        <v>14</v>
      </c>
    </row>
    <row r="62" spans="1:15" s="414" customFormat="1" ht="12.75">
      <c r="A62" s="468">
        <v>1</v>
      </c>
      <c r="B62" s="468"/>
      <c r="C62" s="468"/>
      <c r="D62" s="468"/>
      <c r="E62" s="468"/>
      <c r="F62" s="469"/>
      <c r="G62" s="468">
        <v>1</v>
      </c>
      <c r="H62" s="814"/>
      <c r="I62" s="471"/>
      <c r="J62" s="430">
        <f>ROUND(F62*G62/1000,5)</f>
        <v>0</v>
      </c>
      <c r="K62" s="469"/>
      <c r="L62" s="468">
        <v>1</v>
      </c>
      <c r="M62" s="470">
        <f>H62</f>
        <v>0</v>
      </c>
      <c r="N62" s="470">
        <f>I62</f>
        <v>0</v>
      </c>
      <c r="O62" s="430">
        <f>ROUND(K62*L62/1000,5)</f>
        <v>0</v>
      </c>
    </row>
    <row r="63" spans="1:15" s="414" customFormat="1" ht="12.75">
      <c r="A63" s="468"/>
      <c r="B63" s="468"/>
      <c r="C63" s="468"/>
      <c r="D63" s="468"/>
      <c r="E63" s="468"/>
      <c r="F63" s="469"/>
      <c r="G63" s="468"/>
      <c r="H63" s="470"/>
      <c r="I63" s="471"/>
      <c r="J63" s="430">
        <f>ROUND(F63*G63/1000,5)</f>
        <v>0</v>
      </c>
      <c r="K63" s="469">
        <f>F63</f>
        <v>0</v>
      </c>
      <c r="L63" s="468">
        <v>1</v>
      </c>
      <c r="M63" s="470">
        <f>H63</f>
        <v>0</v>
      </c>
      <c r="N63" s="470">
        <f>I63</f>
        <v>0</v>
      </c>
      <c r="O63" s="430">
        <f>ROUND(K63*L63/1000,5)</f>
        <v>0</v>
      </c>
    </row>
    <row r="64" spans="1:15" s="473" customFormat="1" ht="12.75">
      <c r="A64" s="234"/>
      <c r="B64" s="468"/>
      <c r="C64" s="468"/>
      <c r="D64" s="468"/>
      <c r="E64" s="468"/>
      <c r="F64" s="472"/>
      <c r="G64" s="468"/>
      <c r="H64" s="287"/>
      <c r="I64" s="471"/>
      <c r="J64" s="430">
        <f>ROUND(F64*G64/1000,5)</f>
        <v>0</v>
      </c>
      <c r="K64" s="472"/>
      <c r="L64" s="468">
        <v>1</v>
      </c>
      <c r="M64" s="470"/>
      <c r="N64" s="468"/>
      <c r="O64" s="430">
        <f>ROUND(K64*L64/1000,5)</f>
        <v>0</v>
      </c>
    </row>
    <row r="65" spans="1:15" s="473" customFormat="1" ht="12.75">
      <c r="A65" s="234"/>
      <c r="B65" s="474"/>
      <c r="C65" s="475"/>
      <c r="D65" s="468"/>
      <c r="E65" s="468"/>
      <c r="F65" s="472"/>
      <c r="G65" s="468"/>
      <c r="H65" s="287"/>
      <c r="I65" s="471"/>
      <c r="J65" s="430"/>
      <c r="K65" s="472"/>
      <c r="L65" s="468"/>
      <c r="M65" s="470"/>
      <c r="N65" s="468"/>
      <c r="O65" s="430"/>
    </row>
    <row r="66" spans="1:15" s="348" customFormat="1" ht="25.5" customHeight="1">
      <c r="A66" s="476"/>
      <c r="B66" s="923" t="s">
        <v>246</v>
      </c>
      <c r="C66" s="923"/>
      <c r="D66" s="477">
        <f>SUM(D62:D64)</f>
        <v>0</v>
      </c>
      <c r="E66" s="477"/>
      <c r="F66" s="253" t="e">
        <f>ROUND(J66/I66/G66*1000,5)</f>
        <v>#DIV/0!</v>
      </c>
      <c r="G66" s="478">
        <v>1</v>
      </c>
      <c r="H66" s="479">
        <f>SUM(H62:H64)</f>
        <v>0</v>
      </c>
      <c r="I66" s="480">
        <f>SUM(I62:I64)</f>
        <v>0</v>
      </c>
      <c r="J66" s="481">
        <f>SUM(J62:J64)</f>
        <v>0</v>
      </c>
      <c r="K66" s="253" t="e">
        <f>ROUND(O66/N66/L66*1000,5)</f>
        <v>#DIV/0!</v>
      </c>
      <c r="L66" s="478">
        <v>1</v>
      </c>
      <c r="M66" s="479">
        <f>SUM(M62:M64)</f>
        <v>0</v>
      </c>
      <c r="N66" s="480">
        <f>SUM(N62:N64)</f>
        <v>0</v>
      </c>
      <c r="O66" s="481">
        <f>SUM(O62:O64)</f>
        <v>0</v>
      </c>
    </row>
    <row r="67" spans="1:15" s="348" customFormat="1" ht="25.5" customHeight="1">
      <c r="A67" s="476"/>
      <c r="B67" s="482"/>
      <c r="C67" s="483"/>
      <c r="D67" s="477"/>
      <c r="E67" s="477"/>
      <c r="F67" s="253"/>
      <c r="G67" s="478"/>
      <c r="H67" s="479"/>
      <c r="I67" s="480"/>
      <c r="J67" s="484"/>
      <c r="K67" s="253"/>
      <c r="L67" s="478"/>
      <c r="M67" s="479"/>
      <c r="N67" s="480"/>
      <c r="O67" s="484"/>
    </row>
    <row r="68" spans="1:15" s="348" customFormat="1" ht="14.25" customHeight="1">
      <c r="A68" s="193"/>
      <c r="B68" s="361"/>
      <c r="C68" s="361"/>
      <c r="D68" s="361"/>
      <c r="E68" s="361"/>
      <c r="F68" s="261"/>
      <c r="G68" s="485"/>
      <c r="H68" s="486"/>
      <c r="I68" s="487"/>
      <c r="J68" s="488"/>
      <c r="K68" s="261"/>
      <c r="L68" s="485"/>
      <c r="M68" s="486"/>
      <c r="N68" s="487"/>
      <c r="O68" s="488"/>
    </row>
    <row r="69" spans="1:15" s="208" customFormat="1" ht="15.75" customHeight="1">
      <c r="A69" s="274"/>
      <c r="B69" s="883" t="s">
        <v>157</v>
      </c>
      <c r="C69" s="883"/>
      <c r="D69" s="274"/>
      <c r="E69" s="274"/>
      <c r="F69" s="221"/>
      <c r="G69" s="222"/>
      <c r="H69" s="222"/>
      <c r="I69" s="222"/>
      <c r="J69" s="222"/>
      <c r="K69" s="222"/>
      <c r="L69" s="222"/>
      <c r="M69" s="274"/>
      <c r="N69" s="274"/>
      <c r="O69" s="274"/>
    </row>
    <row r="70" spans="1:15" s="208" customFormat="1" ht="15.75">
      <c r="A70" s="274"/>
      <c r="B70" s="394" t="s">
        <v>128</v>
      </c>
      <c r="C70" s="394"/>
      <c r="D70" s="274"/>
      <c r="E70" s="274"/>
      <c r="F70" s="221"/>
      <c r="G70" s="222"/>
      <c r="H70" s="222"/>
      <c r="I70" s="222"/>
      <c r="J70" s="222"/>
      <c r="K70" s="222"/>
      <c r="L70" s="222"/>
      <c r="M70" s="274"/>
      <c r="N70" s="274"/>
      <c r="O70" s="274"/>
    </row>
    <row r="71" spans="1:23" s="420" customFormat="1" ht="15" customHeight="1">
      <c r="A71" s="418"/>
      <c r="B71" s="929" t="s">
        <v>237</v>
      </c>
      <c r="C71" s="929"/>
      <c r="D71" s="929"/>
      <c r="E71" s="929"/>
      <c r="F71" s="929"/>
      <c r="G71" s="929"/>
      <c r="H71" s="929"/>
      <c r="I71" s="929"/>
      <c r="J71" s="929"/>
      <c r="K71" s="929"/>
      <c r="L71" s="929"/>
      <c r="M71" s="929"/>
      <c r="N71" s="929"/>
      <c r="O71" s="419"/>
      <c r="P71" s="419"/>
      <c r="Q71" s="418"/>
      <c r="R71" s="418"/>
      <c r="S71" s="418"/>
      <c r="T71" s="418"/>
      <c r="U71" s="418"/>
      <c r="V71" s="418"/>
      <c r="W71" s="418"/>
    </row>
    <row r="72" spans="1:15" ht="11.25" customHeight="1">
      <c r="A72"/>
      <c r="B72"/>
      <c r="C72"/>
      <c r="D72"/>
      <c r="E72"/>
      <c r="F72" s="930"/>
      <c r="G72" s="930"/>
      <c r="H72" s="930"/>
      <c r="I72" s="930"/>
      <c r="J72" s="930"/>
      <c r="K72" s="930"/>
      <c r="L72" s="930"/>
      <c r="M72" s="930"/>
      <c r="N72" s="930"/>
      <c r="O72" s="930"/>
    </row>
    <row r="73" spans="1:15" s="421" customFormat="1" ht="34.5" customHeight="1">
      <c r="A73" s="922" t="s">
        <v>105</v>
      </c>
      <c r="B73" s="928" t="s">
        <v>106</v>
      </c>
      <c r="C73" s="922" t="s">
        <v>107</v>
      </c>
      <c r="D73" s="922" t="s">
        <v>108</v>
      </c>
      <c r="E73" s="922"/>
      <c r="F73" s="890" t="s">
        <v>131</v>
      </c>
      <c r="G73" s="890"/>
      <c r="H73" s="890"/>
      <c r="I73" s="890"/>
      <c r="J73" s="890"/>
      <c r="K73" s="899" t="s">
        <v>430</v>
      </c>
      <c r="L73" s="899"/>
      <c r="M73" s="899"/>
      <c r="N73" s="899"/>
      <c r="O73" s="899"/>
    </row>
    <row r="74" spans="1:15" s="421" customFormat="1" ht="93.75" customHeight="1">
      <c r="A74" s="922"/>
      <c r="B74" s="928"/>
      <c r="C74" s="922"/>
      <c r="D74" s="922"/>
      <c r="E74" s="922"/>
      <c r="F74" s="422" t="s">
        <v>238</v>
      </c>
      <c r="G74" s="422" t="s">
        <v>111</v>
      </c>
      <c r="H74" s="422" t="s">
        <v>239</v>
      </c>
      <c r="I74" s="422" t="s">
        <v>240</v>
      </c>
      <c r="J74" s="422" t="s">
        <v>241</v>
      </c>
      <c r="K74" s="422" t="s">
        <v>238</v>
      </c>
      <c r="L74" s="422" t="s">
        <v>111</v>
      </c>
      <c r="M74" s="422" t="s">
        <v>239</v>
      </c>
      <c r="N74" s="422" t="s">
        <v>240</v>
      </c>
      <c r="O74" s="422" t="s">
        <v>242</v>
      </c>
    </row>
    <row r="75" spans="1:15" s="425" customFormat="1" ht="15.75" customHeight="1">
      <c r="A75" s="922"/>
      <c r="B75" s="928"/>
      <c r="C75" s="922"/>
      <c r="D75" s="922"/>
      <c r="E75" s="423"/>
      <c r="F75" s="422" t="s">
        <v>243</v>
      </c>
      <c r="G75" s="422" t="s">
        <v>117</v>
      </c>
      <c r="H75" s="424" t="s">
        <v>118</v>
      </c>
      <c r="I75" s="424" t="s">
        <v>35</v>
      </c>
      <c r="J75" s="422" t="s">
        <v>244</v>
      </c>
      <c r="K75" s="422" t="s">
        <v>245</v>
      </c>
      <c r="L75" s="422" t="s">
        <v>117</v>
      </c>
      <c r="M75" s="424" t="s">
        <v>118</v>
      </c>
      <c r="N75" s="424" t="s">
        <v>35</v>
      </c>
      <c r="O75" s="422" t="s">
        <v>244</v>
      </c>
    </row>
    <row r="76" spans="1:15" s="428" customFormat="1" ht="11.25">
      <c r="A76" s="426">
        <v>1</v>
      </c>
      <c r="B76" s="427">
        <f>A76+1</f>
        <v>2</v>
      </c>
      <c r="C76" s="427">
        <f>B76+1</f>
        <v>3</v>
      </c>
      <c r="D76" s="427">
        <f>C76+1</f>
        <v>4</v>
      </c>
      <c r="E76" s="427" t="s">
        <v>178</v>
      </c>
      <c r="F76" s="427">
        <f>D76+1</f>
        <v>5</v>
      </c>
      <c r="G76" s="427">
        <f aca="true" t="shared" si="4" ref="G76:O76">F76+1</f>
        <v>6</v>
      </c>
      <c r="H76" s="426">
        <f t="shared" si="4"/>
        <v>7</v>
      </c>
      <c r="I76" s="427">
        <f t="shared" si="4"/>
        <v>8</v>
      </c>
      <c r="J76" s="427">
        <f t="shared" si="4"/>
        <v>9</v>
      </c>
      <c r="K76" s="427">
        <f t="shared" si="4"/>
        <v>10</v>
      </c>
      <c r="L76" s="427">
        <f t="shared" si="4"/>
        <v>11</v>
      </c>
      <c r="M76" s="427">
        <f t="shared" si="4"/>
        <v>12</v>
      </c>
      <c r="N76" s="427">
        <f t="shared" si="4"/>
        <v>13</v>
      </c>
      <c r="O76" s="427">
        <f t="shared" si="4"/>
        <v>14</v>
      </c>
    </row>
    <row r="77" spans="1:15" s="271" customFormat="1" ht="24.75" customHeight="1">
      <c r="A77" s="429">
        <v>1</v>
      </c>
      <c r="B77" s="429" t="s">
        <v>119</v>
      </c>
      <c r="C77" s="429" t="s">
        <v>120</v>
      </c>
      <c r="D77" s="429">
        <v>11</v>
      </c>
      <c r="E77" s="927" t="s">
        <v>179</v>
      </c>
      <c r="F77" s="430">
        <v>4.22</v>
      </c>
      <c r="G77" s="429">
        <v>2</v>
      </c>
      <c r="H77" s="837">
        <v>0.66304</v>
      </c>
      <c r="I77" s="431">
        <v>31</v>
      </c>
      <c r="J77" s="430">
        <f>ROUND(F77*G77*I77/1000,5)</f>
        <v>0.26164</v>
      </c>
      <c r="K77" s="430">
        <v>4.22</v>
      </c>
      <c r="L77" s="429">
        <v>2</v>
      </c>
      <c r="M77" s="837">
        <v>0.66304</v>
      </c>
      <c r="N77" s="431">
        <f>I77</f>
        <v>31</v>
      </c>
      <c r="O77" s="430">
        <f>ROUND(K77*L77*N77/1000,5)</f>
        <v>0.26164</v>
      </c>
    </row>
    <row r="78" spans="1:15" s="271" customFormat="1" ht="12.75">
      <c r="A78" s="429">
        <v>2</v>
      </c>
      <c r="B78" s="429"/>
      <c r="C78" s="429"/>
      <c r="D78" s="429"/>
      <c r="E78" s="927"/>
      <c r="F78" s="430">
        <v>2.62</v>
      </c>
      <c r="G78" s="429">
        <v>2</v>
      </c>
      <c r="H78" s="837">
        <v>0.06435</v>
      </c>
      <c r="I78" s="431">
        <v>1</v>
      </c>
      <c r="J78" s="430">
        <f>ROUND(F78*G78*I78/1000,5)</f>
        <v>0.00524</v>
      </c>
      <c r="K78" s="430">
        <f>F78</f>
        <v>2.62</v>
      </c>
      <c r="L78" s="429">
        <v>2</v>
      </c>
      <c r="M78" s="837">
        <v>0.06435</v>
      </c>
      <c r="N78" s="431">
        <v>1</v>
      </c>
      <c r="O78" s="430">
        <f>ROUND(K78*L78*N78/1000,5)</f>
        <v>0.00524</v>
      </c>
    </row>
    <row r="79" spans="1:15" s="273" customFormat="1" ht="12.75">
      <c r="A79" s="432"/>
      <c r="B79" s="429"/>
      <c r="C79" s="429"/>
      <c r="D79" s="429"/>
      <c r="E79" s="927"/>
      <c r="F79" s="430"/>
      <c r="G79" s="429"/>
      <c r="H79" s="838"/>
      <c r="I79" s="431">
        <f>D79</f>
        <v>0</v>
      </c>
      <c r="J79" s="430">
        <f>ROUND(F79*G79*I79/1000,5)</f>
        <v>0</v>
      </c>
      <c r="K79" s="430"/>
      <c r="L79" s="429"/>
      <c r="M79" s="838"/>
      <c r="N79" s="431">
        <f>I79</f>
        <v>0</v>
      </c>
      <c r="O79" s="430">
        <f>ROUND(K79*L79*N79/1000,5)</f>
        <v>0</v>
      </c>
    </row>
    <row r="80" spans="1:15" s="273" customFormat="1" ht="12.75">
      <c r="A80" s="432"/>
      <c r="B80" s="433"/>
      <c r="C80" s="434"/>
      <c r="D80" s="429"/>
      <c r="E80" s="429"/>
      <c r="F80" s="430"/>
      <c r="G80" s="429"/>
      <c r="H80" s="838"/>
      <c r="I80" s="429"/>
      <c r="J80" s="430"/>
      <c r="K80" s="430"/>
      <c r="L80" s="429"/>
      <c r="M80" s="838"/>
      <c r="N80" s="429"/>
      <c r="O80" s="430"/>
    </row>
    <row r="81" spans="1:15" s="273" customFormat="1" ht="12.75">
      <c r="A81" s="432"/>
      <c r="B81" s="433"/>
      <c r="C81" s="434"/>
      <c r="D81" s="429"/>
      <c r="E81" s="429"/>
      <c r="F81" s="430"/>
      <c r="G81" s="429"/>
      <c r="H81" s="838"/>
      <c r="I81" s="429"/>
      <c r="J81" s="430"/>
      <c r="K81" s="430"/>
      <c r="L81" s="429"/>
      <c r="M81" s="838"/>
      <c r="N81" s="429"/>
      <c r="O81" s="430"/>
    </row>
    <row r="82" spans="1:15" s="273" customFormat="1" ht="12.75">
      <c r="A82" s="432"/>
      <c r="B82" s="433"/>
      <c r="C82" s="434"/>
      <c r="D82" s="429"/>
      <c r="E82" s="825" t="s">
        <v>180</v>
      </c>
      <c r="F82" s="825">
        <v>346.45</v>
      </c>
      <c r="G82" s="826">
        <v>2</v>
      </c>
      <c r="H82" s="839">
        <v>3.86277</v>
      </c>
      <c r="I82" s="824">
        <v>175</v>
      </c>
      <c r="J82" s="825">
        <f>ROUND(F82*G82*I82/1000,5)</f>
        <v>121.2575</v>
      </c>
      <c r="K82" s="825">
        <f>F82</f>
        <v>346.45</v>
      </c>
      <c r="L82" s="826">
        <v>2</v>
      </c>
      <c r="M82" s="839">
        <v>3.86277</v>
      </c>
      <c r="N82" s="824">
        <v>175</v>
      </c>
      <c r="O82" s="825">
        <f>ROUND(K82*L82*N82/1000,5)</f>
        <v>121.2575</v>
      </c>
    </row>
    <row r="83" spans="1:15" s="273" customFormat="1" ht="12.75">
      <c r="A83" s="432"/>
      <c r="B83" s="433"/>
      <c r="C83" s="434"/>
      <c r="D83" s="429"/>
      <c r="E83" s="823" t="s">
        <v>181</v>
      </c>
      <c r="F83" s="822"/>
      <c r="G83" s="823"/>
      <c r="H83" s="828"/>
      <c r="I83" s="828"/>
      <c r="J83" s="822">
        <f>ROUND(F83*G83*H83/1000,5)</f>
        <v>0</v>
      </c>
      <c r="K83" s="822">
        <f>F83</f>
        <v>0</v>
      </c>
      <c r="L83" s="823"/>
      <c r="M83" s="827"/>
      <c r="N83" s="827"/>
      <c r="O83" s="822">
        <f>ROUND(K83*L83*M83/1000,5)</f>
        <v>0</v>
      </c>
    </row>
    <row r="84" spans="1:15" s="273" customFormat="1" ht="12.75">
      <c r="A84" s="432"/>
      <c r="B84" s="433"/>
      <c r="C84" s="434"/>
      <c r="D84" s="429"/>
      <c r="E84" s="429"/>
      <c r="F84" s="430"/>
      <c r="G84" s="429"/>
      <c r="H84" s="437"/>
      <c r="I84" s="429"/>
      <c r="J84" s="430"/>
      <c r="K84" s="430"/>
      <c r="L84" s="429"/>
      <c r="M84" s="431"/>
      <c r="N84" s="429"/>
      <c r="O84" s="430"/>
    </row>
    <row r="85" spans="1:15" s="443" customFormat="1" ht="25.5" customHeight="1">
      <c r="A85" s="438"/>
      <c r="B85" s="924" t="s">
        <v>246</v>
      </c>
      <c r="C85" s="924"/>
      <c r="D85" s="439">
        <f>SUM(D77:D84)</f>
        <v>11</v>
      </c>
      <c r="E85" s="439"/>
      <c r="F85" s="440">
        <f>ROUND(J85/I85/G85*1000,5)</f>
        <v>293.53715</v>
      </c>
      <c r="G85" s="441">
        <v>2</v>
      </c>
      <c r="H85" s="439">
        <f>SUM(H77:H84)-H83</f>
        <v>4.59016</v>
      </c>
      <c r="I85" s="439">
        <f>SUM(I77:I84)-I83</f>
        <v>207</v>
      </c>
      <c r="J85" s="439">
        <f>SUM(J77:J84)</f>
        <v>121.52438</v>
      </c>
      <c r="K85" s="440">
        <f>ROUND(O85/N85/L85*1000,5)</f>
        <v>293.53715</v>
      </c>
      <c r="L85" s="441">
        <v>2</v>
      </c>
      <c r="M85" s="439">
        <f>SUM(M77:M84)-M83</f>
        <v>4.59016</v>
      </c>
      <c r="N85" s="439">
        <f>SUM(N77:N84)-N83</f>
        <v>207</v>
      </c>
      <c r="O85" s="439">
        <f>SUM(O77:O84)</f>
        <v>121.52438</v>
      </c>
    </row>
    <row r="86" spans="1:15" s="443" customFormat="1" ht="13.5" customHeight="1">
      <c r="A86" s="195"/>
      <c r="B86" s="444"/>
      <c r="C86" s="444"/>
      <c r="D86" s="445"/>
      <c r="E86" s="445"/>
      <c r="F86" s="446"/>
      <c r="G86" s="447"/>
      <c r="H86" s="448"/>
      <c r="I86" s="448"/>
      <c r="J86" s="449"/>
      <c r="K86" s="449"/>
      <c r="L86" s="449"/>
      <c r="M86" s="449"/>
      <c r="N86" s="449"/>
      <c r="O86" s="449"/>
    </row>
    <row r="87" spans="1:15" s="443" customFormat="1" ht="12.75">
      <c r="A87" s="195"/>
      <c r="B87" s="444"/>
      <c r="C87" s="444"/>
      <c r="D87" s="444"/>
      <c r="E87" s="444"/>
      <c r="F87" s="450"/>
      <c r="G87" s="447"/>
      <c r="H87" s="448"/>
      <c r="I87" s="448"/>
      <c r="J87" s="449"/>
      <c r="K87" s="449"/>
      <c r="L87" s="449"/>
      <c r="M87" s="449"/>
      <c r="N87" s="449"/>
      <c r="O87" s="449"/>
    </row>
    <row r="88" spans="1:23" s="455" customFormat="1" ht="18" customHeight="1">
      <c r="A88" s="451"/>
      <c r="B88" s="452" t="s">
        <v>247</v>
      </c>
      <c r="C88" s="451"/>
      <c r="D88" s="451"/>
      <c r="E88" s="451"/>
      <c r="F88" s="451"/>
      <c r="G88" s="453"/>
      <c r="H88" s="454"/>
      <c r="I88" s="454"/>
      <c r="J88" s="454"/>
      <c r="K88" s="454"/>
      <c r="L88" s="454"/>
      <c r="M88" s="454"/>
      <c r="N88" s="454"/>
      <c r="O88" s="454"/>
      <c r="P88" s="454"/>
      <c r="Q88" s="451"/>
      <c r="R88" s="451"/>
      <c r="S88" s="451"/>
      <c r="T88" s="451"/>
      <c r="U88" s="451"/>
      <c r="V88" s="451"/>
      <c r="W88" s="451"/>
    </row>
    <row r="89" spans="6:15" s="343" customFormat="1" ht="13.5" customHeight="1">
      <c r="F89" s="925"/>
      <c r="G89" s="925"/>
      <c r="H89" s="925"/>
      <c r="I89" s="925"/>
      <c r="J89" s="925"/>
      <c r="K89" s="925"/>
      <c r="L89" s="925"/>
      <c r="M89" s="925"/>
      <c r="N89" s="925"/>
      <c r="O89" s="925"/>
    </row>
    <row r="90" spans="1:15" s="421" customFormat="1" ht="34.5" customHeight="1">
      <c r="A90" s="889" t="s">
        <v>105</v>
      </c>
      <c r="B90" s="926" t="s">
        <v>106</v>
      </c>
      <c r="C90" s="889" t="s">
        <v>107</v>
      </c>
      <c r="D90" s="889" t="s">
        <v>108</v>
      </c>
      <c r="E90" s="456"/>
      <c r="F90" s="890" t="s">
        <v>131</v>
      </c>
      <c r="G90" s="890"/>
      <c r="H90" s="890"/>
      <c r="I90" s="890"/>
      <c r="J90" s="890"/>
      <c r="K90" s="899" t="s">
        <v>430</v>
      </c>
      <c r="L90" s="899"/>
      <c r="M90" s="899"/>
      <c r="N90" s="899"/>
      <c r="O90" s="899"/>
    </row>
    <row r="91" spans="1:15" s="460" customFormat="1" ht="91.5" customHeight="1">
      <c r="A91" s="889"/>
      <c r="B91" s="926"/>
      <c r="C91" s="889"/>
      <c r="D91" s="889"/>
      <c r="E91" s="350"/>
      <c r="F91" s="248" t="s">
        <v>248</v>
      </c>
      <c r="G91" s="457" t="s">
        <v>111</v>
      </c>
      <c r="H91" s="457" t="s">
        <v>254</v>
      </c>
      <c r="I91" s="457" t="s">
        <v>240</v>
      </c>
      <c r="J91" s="458" t="s">
        <v>250</v>
      </c>
      <c r="K91" s="248" t="s">
        <v>251</v>
      </c>
      <c r="L91" s="457" t="s">
        <v>111</v>
      </c>
      <c r="M91" s="457" t="s">
        <v>254</v>
      </c>
      <c r="N91" s="459" t="s">
        <v>240</v>
      </c>
      <c r="O91" s="458" t="s">
        <v>252</v>
      </c>
    </row>
    <row r="92" spans="1:15" s="464" customFormat="1" ht="15.75" customHeight="1">
      <c r="A92" s="889"/>
      <c r="B92" s="926"/>
      <c r="C92" s="889"/>
      <c r="D92" s="889"/>
      <c r="E92" s="352"/>
      <c r="F92" s="461" t="s">
        <v>253</v>
      </c>
      <c r="G92" s="461" t="s">
        <v>117</v>
      </c>
      <c r="H92" s="311" t="s">
        <v>118</v>
      </c>
      <c r="I92" s="311" t="s">
        <v>35</v>
      </c>
      <c r="J92" s="462" t="s">
        <v>244</v>
      </c>
      <c r="K92" s="463" t="s">
        <v>245</v>
      </c>
      <c r="L92" s="461" t="s">
        <v>117</v>
      </c>
      <c r="M92" s="311" t="s">
        <v>118</v>
      </c>
      <c r="N92" s="311" t="s">
        <v>35</v>
      </c>
      <c r="O92" s="462" t="s">
        <v>244</v>
      </c>
    </row>
    <row r="93" spans="1:15" s="467" customFormat="1" ht="11.25">
      <c r="A93" s="465">
        <v>1</v>
      </c>
      <c r="B93" s="225">
        <f>A93+1</f>
        <v>2</v>
      </c>
      <c r="C93" s="225">
        <f>B93+1</f>
        <v>3</v>
      </c>
      <c r="D93" s="225">
        <f>C93+1</f>
        <v>4</v>
      </c>
      <c r="E93" s="225" t="s">
        <v>178</v>
      </c>
      <c r="F93" s="466">
        <f>D93+1</f>
        <v>5</v>
      </c>
      <c r="G93" s="466">
        <f aca="true" t="shared" si="5" ref="G93:O93">F93+1</f>
        <v>6</v>
      </c>
      <c r="H93" s="465">
        <f t="shared" si="5"/>
        <v>7</v>
      </c>
      <c r="I93" s="465">
        <f t="shared" si="5"/>
        <v>8</v>
      </c>
      <c r="J93" s="426">
        <f t="shared" si="5"/>
        <v>9</v>
      </c>
      <c r="K93" s="466">
        <f t="shared" si="5"/>
        <v>10</v>
      </c>
      <c r="L93" s="466">
        <f t="shared" si="5"/>
        <v>11</v>
      </c>
      <c r="M93" s="465">
        <f t="shared" si="5"/>
        <v>12</v>
      </c>
      <c r="N93" s="465">
        <f t="shared" si="5"/>
        <v>13</v>
      </c>
      <c r="O93" s="426">
        <f t="shared" si="5"/>
        <v>14</v>
      </c>
    </row>
    <row r="94" spans="1:15" s="414" customFormat="1" ht="12.75">
      <c r="A94" s="468">
        <v>1</v>
      </c>
      <c r="B94" s="468"/>
      <c r="C94" s="468"/>
      <c r="D94" s="468"/>
      <c r="E94" s="468"/>
      <c r="F94" s="469"/>
      <c r="G94" s="468">
        <v>2</v>
      </c>
      <c r="H94" s="814"/>
      <c r="I94" s="471"/>
      <c r="J94" s="430">
        <f>ROUND(F94*G94/1000,5)</f>
        <v>0</v>
      </c>
      <c r="K94" s="469">
        <f>F94</f>
        <v>0</v>
      </c>
      <c r="L94" s="468"/>
      <c r="M94" s="814"/>
      <c r="N94" s="471"/>
      <c r="O94" s="430">
        <f>ROUND(K94*L94/1000,5)</f>
        <v>0</v>
      </c>
    </row>
    <row r="95" spans="1:15" s="414" customFormat="1" ht="12.75">
      <c r="A95" s="468"/>
      <c r="B95" s="468"/>
      <c r="C95" s="468"/>
      <c r="D95" s="468"/>
      <c r="E95" s="468"/>
      <c r="F95" s="469"/>
      <c r="G95" s="468"/>
      <c r="H95" s="470"/>
      <c r="I95" s="471"/>
      <c r="J95" s="430">
        <f>ROUND(F95*G95/1000,5)</f>
        <v>0</v>
      </c>
      <c r="K95" s="469">
        <f>F95</f>
        <v>0</v>
      </c>
      <c r="L95" s="468"/>
      <c r="M95" s="470">
        <f>H95</f>
        <v>0</v>
      </c>
      <c r="N95" s="470">
        <f>I95</f>
        <v>0</v>
      </c>
      <c r="O95" s="430">
        <f>ROUND(K95*L95/1000,5)</f>
        <v>0</v>
      </c>
    </row>
    <row r="96" spans="1:15" s="473" customFormat="1" ht="12.75">
      <c r="A96" s="234"/>
      <c r="B96" s="468"/>
      <c r="C96" s="468"/>
      <c r="D96" s="468"/>
      <c r="E96" s="468"/>
      <c r="F96" s="472"/>
      <c r="G96" s="468"/>
      <c r="H96" s="287"/>
      <c r="I96" s="471"/>
      <c r="J96" s="430">
        <f>ROUND(F96*G96/1000,5)</f>
        <v>0</v>
      </c>
      <c r="K96" s="472"/>
      <c r="L96" s="468"/>
      <c r="M96" s="470"/>
      <c r="N96" s="468"/>
      <c r="O96" s="430">
        <f>ROUND(K96*L96/1000,5)</f>
        <v>0</v>
      </c>
    </row>
    <row r="97" spans="1:15" s="473" customFormat="1" ht="12.75">
      <c r="A97" s="234"/>
      <c r="B97" s="474"/>
      <c r="C97" s="475"/>
      <c r="D97" s="468"/>
      <c r="E97" s="468"/>
      <c r="F97" s="472"/>
      <c r="G97" s="468"/>
      <c r="H97" s="287"/>
      <c r="I97" s="471"/>
      <c r="J97" s="430"/>
      <c r="K97" s="472"/>
      <c r="L97" s="468"/>
      <c r="M97" s="470"/>
      <c r="N97" s="468"/>
      <c r="O97" s="430"/>
    </row>
    <row r="98" spans="1:15" s="348" customFormat="1" ht="25.5" customHeight="1">
      <c r="A98" s="476"/>
      <c r="B98" s="923" t="s">
        <v>246</v>
      </c>
      <c r="C98" s="923"/>
      <c r="D98" s="477">
        <f>SUM(D94:D96)</f>
        <v>0</v>
      </c>
      <c r="E98" s="477"/>
      <c r="F98" s="253" t="e">
        <f>ROUND(J98/I98/G98*1000,5)</f>
        <v>#DIV/0!</v>
      </c>
      <c r="G98" s="478">
        <v>2</v>
      </c>
      <c r="H98" s="479">
        <f>SUM(H94:H96)</f>
        <v>0</v>
      </c>
      <c r="I98" s="480">
        <f>SUM(I94:I96)</f>
        <v>0</v>
      </c>
      <c r="J98" s="481">
        <f>SUM(J94:J96)</f>
        <v>0</v>
      </c>
      <c r="K98" s="253" t="e">
        <f>ROUND(O98/N98/L98*1000,5)</f>
        <v>#DIV/0!</v>
      </c>
      <c r="L98" s="478">
        <v>2</v>
      </c>
      <c r="M98" s="479">
        <f>SUM(M94:M96)</f>
        <v>0</v>
      </c>
      <c r="N98" s="480">
        <f>SUM(N94:N96)</f>
        <v>0</v>
      </c>
      <c r="O98" s="481">
        <f>SUM(O94:O96)</f>
        <v>0</v>
      </c>
    </row>
    <row r="99" spans="1:15" s="348" customFormat="1" ht="25.5" customHeight="1">
      <c r="A99" s="476"/>
      <c r="B99" s="482"/>
      <c r="C99" s="483"/>
      <c r="D99" s="477"/>
      <c r="E99" s="477"/>
      <c r="F99" s="253"/>
      <c r="G99" s="478"/>
      <c r="H99" s="479"/>
      <c r="I99" s="480"/>
      <c r="J99" s="484"/>
      <c r="K99" s="253"/>
      <c r="L99" s="478"/>
      <c r="M99" s="479"/>
      <c r="N99" s="480"/>
      <c r="O99" s="484"/>
    </row>
    <row r="100" spans="1:15" s="348" customFormat="1" ht="14.25" customHeight="1">
      <c r="A100" s="193"/>
      <c r="B100" s="361"/>
      <c r="C100" s="361"/>
      <c r="D100" s="361"/>
      <c r="E100" s="361"/>
      <c r="F100" s="261"/>
      <c r="G100" s="485"/>
      <c r="H100" s="486"/>
      <c r="I100" s="487"/>
      <c r="J100" s="488"/>
      <c r="K100" s="261"/>
      <c r="L100" s="485"/>
      <c r="M100" s="486"/>
      <c r="N100" s="487"/>
      <c r="O100" s="488"/>
    </row>
    <row r="101" spans="1:15" s="208" customFormat="1" ht="15.75" customHeight="1">
      <c r="A101" s="274"/>
      <c r="B101" s="883" t="s">
        <v>157</v>
      </c>
      <c r="C101" s="883"/>
      <c r="D101" s="274"/>
      <c r="E101" s="274"/>
      <c r="F101" s="221"/>
      <c r="G101" s="222"/>
      <c r="H101" s="222"/>
      <c r="I101" s="222"/>
      <c r="J101" s="222"/>
      <c r="K101" s="222"/>
      <c r="L101" s="222"/>
      <c r="M101" s="274"/>
      <c r="N101" s="274"/>
      <c r="O101" s="274"/>
    </row>
    <row r="102" spans="1:15" s="208" customFormat="1" ht="15.75">
      <c r="A102" s="274"/>
      <c r="B102" s="394" t="s">
        <v>255</v>
      </c>
      <c r="C102" s="394"/>
      <c r="D102" s="274"/>
      <c r="E102" s="274"/>
      <c r="F102" s="221"/>
      <c r="G102" s="222"/>
      <c r="H102" s="222"/>
      <c r="I102" s="222"/>
      <c r="J102" s="222"/>
      <c r="K102" s="222"/>
      <c r="L102" s="222"/>
      <c r="M102" s="274"/>
      <c r="N102" s="274"/>
      <c r="O102" s="274"/>
    </row>
    <row r="103" spans="1:23" s="420" customFormat="1" ht="15" customHeight="1">
      <c r="A103" s="418"/>
      <c r="B103" s="929" t="s">
        <v>237</v>
      </c>
      <c r="C103" s="929"/>
      <c r="D103" s="929"/>
      <c r="E103" s="929"/>
      <c r="F103" s="929"/>
      <c r="G103" s="929"/>
      <c r="H103" s="929"/>
      <c r="I103" s="929"/>
      <c r="J103" s="929"/>
      <c r="K103" s="929"/>
      <c r="L103" s="929"/>
      <c r="M103" s="929"/>
      <c r="N103" s="929"/>
      <c r="O103" s="419"/>
      <c r="P103" s="419"/>
      <c r="Q103" s="418"/>
      <c r="R103" s="418"/>
      <c r="S103" s="418"/>
      <c r="T103" s="418"/>
      <c r="U103" s="418"/>
      <c r="V103" s="418"/>
      <c r="W103" s="418"/>
    </row>
    <row r="104" spans="1:15" ht="11.25" customHeight="1">
      <c r="A104"/>
      <c r="B104"/>
      <c r="C104"/>
      <c r="D104"/>
      <c r="E104"/>
      <c r="F104" s="930"/>
      <c r="G104" s="930"/>
      <c r="H104" s="930"/>
      <c r="I104" s="930"/>
      <c r="J104" s="930"/>
      <c r="K104" s="930"/>
      <c r="L104" s="930"/>
      <c r="M104" s="930"/>
      <c r="N104" s="930"/>
      <c r="O104" s="930"/>
    </row>
    <row r="105" spans="1:15" s="421" customFormat="1" ht="34.5" customHeight="1">
      <c r="A105" s="922" t="s">
        <v>105</v>
      </c>
      <c r="B105" s="928" t="s">
        <v>106</v>
      </c>
      <c r="C105" s="922" t="s">
        <v>107</v>
      </c>
      <c r="D105" s="922" t="s">
        <v>108</v>
      </c>
      <c r="E105" s="922"/>
      <c r="F105" s="890" t="s">
        <v>210</v>
      </c>
      <c r="G105" s="890"/>
      <c r="H105" s="890"/>
      <c r="I105" s="890"/>
      <c r="J105" s="890"/>
      <c r="K105" s="899" t="s">
        <v>431</v>
      </c>
      <c r="L105" s="899"/>
      <c r="M105" s="899"/>
      <c r="N105" s="899"/>
      <c r="O105" s="899"/>
    </row>
    <row r="106" spans="1:15" s="421" customFormat="1" ht="93.75" customHeight="1">
      <c r="A106" s="922"/>
      <c r="B106" s="928"/>
      <c r="C106" s="922"/>
      <c r="D106" s="922"/>
      <c r="E106" s="922"/>
      <c r="F106" s="422" t="s">
        <v>238</v>
      </c>
      <c r="G106" s="422" t="s">
        <v>111</v>
      </c>
      <c r="H106" s="422" t="s">
        <v>239</v>
      </c>
      <c r="I106" s="422" t="s">
        <v>240</v>
      </c>
      <c r="J106" s="422" t="s">
        <v>241</v>
      </c>
      <c r="K106" s="422" t="s">
        <v>238</v>
      </c>
      <c r="L106" s="422" t="s">
        <v>111</v>
      </c>
      <c r="M106" s="422" t="s">
        <v>239</v>
      </c>
      <c r="N106" s="422" t="s">
        <v>240</v>
      </c>
      <c r="O106" s="422" t="s">
        <v>242</v>
      </c>
    </row>
    <row r="107" spans="1:15" s="425" customFormat="1" ht="15.75" customHeight="1">
      <c r="A107" s="922"/>
      <c r="B107" s="928"/>
      <c r="C107" s="922"/>
      <c r="D107" s="922"/>
      <c r="E107" s="423"/>
      <c r="F107" s="422" t="s">
        <v>243</v>
      </c>
      <c r="G107" s="422" t="s">
        <v>117</v>
      </c>
      <c r="H107" s="424" t="s">
        <v>118</v>
      </c>
      <c r="I107" s="424" t="s">
        <v>35</v>
      </c>
      <c r="J107" s="422" t="s">
        <v>244</v>
      </c>
      <c r="K107" s="422" t="s">
        <v>245</v>
      </c>
      <c r="L107" s="422" t="s">
        <v>117</v>
      </c>
      <c r="M107" s="424" t="s">
        <v>118</v>
      </c>
      <c r="N107" s="424" t="s">
        <v>35</v>
      </c>
      <c r="O107" s="422" t="s">
        <v>244</v>
      </c>
    </row>
    <row r="108" spans="1:15" s="428" customFormat="1" ht="11.25">
      <c r="A108" s="426">
        <v>1</v>
      </c>
      <c r="B108" s="427">
        <f>A108+1</f>
        <v>2</v>
      </c>
      <c r="C108" s="427">
        <f>B108+1</f>
        <v>3</v>
      </c>
      <c r="D108" s="427">
        <f>C108+1</f>
        <v>4</v>
      </c>
      <c r="E108" s="427" t="s">
        <v>178</v>
      </c>
      <c r="F108" s="427">
        <f>D108+1</f>
        <v>5</v>
      </c>
      <c r="G108" s="427">
        <f aca="true" t="shared" si="6" ref="G108:O108">F108+1</f>
        <v>6</v>
      </c>
      <c r="H108" s="426">
        <f t="shared" si="6"/>
        <v>7</v>
      </c>
      <c r="I108" s="427">
        <f t="shared" si="6"/>
        <v>8</v>
      </c>
      <c r="J108" s="427">
        <f t="shared" si="6"/>
        <v>9</v>
      </c>
      <c r="K108" s="427">
        <f t="shared" si="6"/>
        <v>10</v>
      </c>
      <c r="L108" s="427">
        <f t="shared" si="6"/>
        <v>11</v>
      </c>
      <c r="M108" s="427">
        <f t="shared" si="6"/>
        <v>12</v>
      </c>
      <c r="N108" s="427">
        <f t="shared" si="6"/>
        <v>13</v>
      </c>
      <c r="O108" s="427">
        <f t="shared" si="6"/>
        <v>14</v>
      </c>
    </row>
    <row r="109" spans="1:15" s="271" customFormat="1" ht="27.75" customHeight="1">
      <c r="A109" s="429">
        <v>1</v>
      </c>
      <c r="B109" s="429" t="s">
        <v>119</v>
      </c>
      <c r="C109" s="429" t="s">
        <v>120</v>
      </c>
      <c r="D109" s="429">
        <v>11</v>
      </c>
      <c r="E109" s="927" t="s">
        <v>179</v>
      </c>
      <c r="F109" s="430">
        <v>4.22</v>
      </c>
      <c r="G109" s="429">
        <v>4</v>
      </c>
      <c r="H109" s="837">
        <v>0.66304</v>
      </c>
      <c r="I109" s="431">
        <v>31</v>
      </c>
      <c r="J109" s="430">
        <f>ROUND(F109*G109*I109/1000,5)</f>
        <v>0.52328</v>
      </c>
      <c r="K109" s="430">
        <v>4.22</v>
      </c>
      <c r="L109" s="429">
        <v>4</v>
      </c>
      <c r="M109" s="837">
        <v>0.66304</v>
      </c>
      <c r="N109" s="431">
        <f>I109</f>
        <v>31</v>
      </c>
      <c r="O109" s="430">
        <f>ROUND(K109*L109*N109/1000,5)</f>
        <v>0.52328</v>
      </c>
    </row>
    <row r="110" spans="1:15" s="271" customFormat="1" ht="12.75">
      <c r="A110" s="429">
        <v>2</v>
      </c>
      <c r="B110" s="429"/>
      <c r="C110" s="429"/>
      <c r="D110" s="429"/>
      <c r="E110" s="927"/>
      <c r="F110" s="430">
        <v>2.62</v>
      </c>
      <c r="G110" s="429">
        <v>4</v>
      </c>
      <c r="H110" s="837">
        <v>0.06435</v>
      </c>
      <c r="I110" s="431">
        <v>1</v>
      </c>
      <c r="J110" s="430">
        <f>ROUND(F110*G110*I110/1000,5)</f>
        <v>0.01048</v>
      </c>
      <c r="K110" s="430">
        <f>F110</f>
        <v>2.62</v>
      </c>
      <c r="L110" s="429">
        <v>4</v>
      </c>
      <c r="M110" s="837">
        <v>0.06435</v>
      </c>
      <c r="N110" s="431">
        <v>1</v>
      </c>
      <c r="O110" s="430">
        <f>ROUND(K110*L110*N110/1000,5)</f>
        <v>0.01048</v>
      </c>
    </row>
    <row r="111" spans="1:15" s="273" customFormat="1" ht="12.75">
      <c r="A111" s="432"/>
      <c r="B111" s="429"/>
      <c r="C111" s="429"/>
      <c r="D111" s="429"/>
      <c r="E111" s="927"/>
      <c r="F111" s="430"/>
      <c r="G111" s="429"/>
      <c r="H111" s="838"/>
      <c r="I111" s="431">
        <f>D111</f>
        <v>0</v>
      </c>
      <c r="J111" s="430">
        <f>ROUND(F111*G111*I111/1000,5)</f>
        <v>0</v>
      </c>
      <c r="K111" s="430"/>
      <c r="L111" s="429"/>
      <c r="M111" s="838"/>
      <c r="N111" s="431">
        <f>I111</f>
        <v>0</v>
      </c>
      <c r="O111" s="430">
        <f>ROUND(K111*L111*N111/1000,5)</f>
        <v>0</v>
      </c>
    </row>
    <row r="112" spans="1:15" s="273" customFormat="1" ht="12.75">
      <c r="A112" s="432"/>
      <c r="B112" s="433"/>
      <c r="C112" s="434"/>
      <c r="D112" s="429"/>
      <c r="E112" s="429"/>
      <c r="F112" s="430"/>
      <c r="G112" s="429"/>
      <c r="H112" s="838"/>
      <c r="I112" s="429"/>
      <c r="J112" s="430"/>
      <c r="K112" s="430"/>
      <c r="L112" s="429"/>
      <c r="M112" s="838"/>
      <c r="N112" s="429"/>
      <c r="O112" s="430"/>
    </row>
    <row r="113" spans="1:15" s="273" customFormat="1" ht="12.75">
      <c r="A113" s="432"/>
      <c r="B113" s="433"/>
      <c r="C113" s="434"/>
      <c r="D113" s="429"/>
      <c r="E113" s="429"/>
      <c r="F113" s="430"/>
      <c r="G113" s="429"/>
      <c r="H113" s="838"/>
      <c r="I113" s="429"/>
      <c r="J113" s="430"/>
      <c r="K113" s="430"/>
      <c r="L113" s="429"/>
      <c r="M113" s="838"/>
      <c r="N113" s="429"/>
      <c r="O113" s="430"/>
    </row>
    <row r="114" spans="1:15" s="273" customFormat="1" ht="12.75">
      <c r="A114" s="432"/>
      <c r="B114" s="433"/>
      <c r="C114" s="434"/>
      <c r="D114" s="429"/>
      <c r="E114" s="825" t="s">
        <v>180</v>
      </c>
      <c r="F114" s="825">
        <v>346.45</v>
      </c>
      <c r="G114" s="826">
        <v>4</v>
      </c>
      <c r="H114" s="839">
        <v>3.86277</v>
      </c>
      <c r="I114" s="824">
        <v>175</v>
      </c>
      <c r="J114" s="825">
        <f>ROUND(F114*G114*I114/1000,5)</f>
        <v>242.515</v>
      </c>
      <c r="K114" s="825">
        <f>F114</f>
        <v>346.45</v>
      </c>
      <c r="L114" s="826">
        <v>4</v>
      </c>
      <c r="M114" s="839">
        <v>3.86277</v>
      </c>
      <c r="N114" s="824">
        <v>175</v>
      </c>
      <c r="O114" s="825">
        <f>ROUND(K114*L114*N114/1000,5)</f>
        <v>242.515</v>
      </c>
    </row>
    <row r="115" spans="1:15" s="273" customFormat="1" ht="12.75">
      <c r="A115" s="432"/>
      <c r="B115" s="433"/>
      <c r="C115" s="434"/>
      <c r="D115" s="429"/>
      <c r="E115" s="823" t="s">
        <v>181</v>
      </c>
      <c r="F115" s="822"/>
      <c r="G115" s="823"/>
      <c r="H115" s="827"/>
      <c r="I115" s="827"/>
      <c r="J115" s="822">
        <f>ROUND(F115*G115*H115/1000,5)</f>
        <v>0</v>
      </c>
      <c r="K115" s="822">
        <f>F115</f>
        <v>0</v>
      </c>
      <c r="L115" s="823"/>
      <c r="M115" s="827"/>
      <c r="N115" s="827"/>
      <c r="O115" s="822">
        <f>ROUND(K115*L115*M115/1000,5)</f>
        <v>0</v>
      </c>
    </row>
    <row r="116" spans="1:15" s="273" customFormat="1" ht="12.75">
      <c r="A116" s="432"/>
      <c r="B116" s="433"/>
      <c r="C116" s="434"/>
      <c r="D116" s="429"/>
      <c r="E116" s="429"/>
      <c r="F116" s="430"/>
      <c r="G116" s="429"/>
      <c r="H116" s="437"/>
      <c r="I116" s="429"/>
      <c r="J116" s="430"/>
      <c r="K116" s="430"/>
      <c r="L116" s="429"/>
      <c r="M116" s="431"/>
      <c r="N116" s="429"/>
      <c r="O116" s="430"/>
    </row>
    <row r="117" spans="1:15" s="443" customFormat="1" ht="25.5" customHeight="1">
      <c r="A117" s="438"/>
      <c r="B117" s="924" t="s">
        <v>246</v>
      </c>
      <c r="C117" s="924"/>
      <c r="D117" s="439">
        <f>SUM(D109:D116)</f>
        <v>11</v>
      </c>
      <c r="E117" s="439"/>
      <c r="F117" s="440">
        <f>ROUND(J117/I117/G117*1000,5)</f>
        <v>293.53715</v>
      </c>
      <c r="G117" s="441">
        <v>4</v>
      </c>
      <c r="H117" s="439">
        <f>SUM(H109:H116)-H115</f>
        <v>4.59016</v>
      </c>
      <c r="I117" s="439">
        <f>SUM(I109:I116)-I115</f>
        <v>207</v>
      </c>
      <c r="J117" s="439">
        <f>SUM(J109:J116)</f>
        <v>243.04876</v>
      </c>
      <c r="K117" s="440">
        <f>ROUND(O117/N117/L117*1000,5)</f>
        <v>293.53715</v>
      </c>
      <c r="L117" s="441">
        <v>4</v>
      </c>
      <c r="M117" s="439">
        <f>SUM(M109:M116)-M115</f>
        <v>4.59016</v>
      </c>
      <c r="N117" s="439">
        <f>SUM(N109:N116)-N115</f>
        <v>207</v>
      </c>
      <c r="O117" s="439">
        <f>SUM(O109:O116)</f>
        <v>243.04876</v>
      </c>
    </row>
    <row r="118" spans="1:15" s="443" customFormat="1" ht="13.5" customHeight="1">
      <c r="A118" s="195"/>
      <c r="B118" s="444"/>
      <c r="C118" s="444"/>
      <c r="D118" s="445"/>
      <c r="E118" s="445"/>
      <c r="F118" s="446"/>
      <c r="G118" s="447"/>
      <c r="H118" s="448"/>
      <c r="I118" s="448"/>
      <c r="J118" s="449"/>
      <c r="K118" s="449"/>
      <c r="L118" s="449"/>
      <c r="M118" s="449"/>
      <c r="N118" s="449"/>
      <c r="O118" s="449"/>
    </row>
    <row r="119" spans="1:15" s="443" customFormat="1" ht="12.75">
      <c r="A119" s="195"/>
      <c r="B119" s="444"/>
      <c r="C119" s="444"/>
      <c r="D119" s="444"/>
      <c r="E119" s="444"/>
      <c r="F119" s="450"/>
      <c r="G119" s="447"/>
      <c r="H119" s="448"/>
      <c r="I119" s="448"/>
      <c r="J119" s="449"/>
      <c r="K119" s="449"/>
      <c r="L119" s="449"/>
      <c r="M119" s="449"/>
      <c r="N119" s="449"/>
      <c r="O119" s="449"/>
    </row>
    <row r="120" spans="1:23" s="455" customFormat="1" ht="18" customHeight="1">
      <c r="A120" s="451"/>
      <c r="B120" s="452" t="s">
        <v>247</v>
      </c>
      <c r="C120" s="451"/>
      <c r="D120" s="451"/>
      <c r="E120" s="451"/>
      <c r="F120" s="451"/>
      <c r="G120" s="453"/>
      <c r="H120" s="454"/>
      <c r="I120" s="454"/>
      <c r="J120" s="454"/>
      <c r="K120" s="454"/>
      <c r="L120" s="454"/>
      <c r="M120" s="454"/>
      <c r="N120" s="454"/>
      <c r="O120" s="454"/>
      <c r="P120" s="454"/>
      <c r="Q120" s="451"/>
      <c r="R120" s="451"/>
      <c r="S120" s="451"/>
      <c r="T120" s="451"/>
      <c r="U120" s="451"/>
      <c r="V120" s="451"/>
      <c r="W120" s="451"/>
    </row>
    <row r="121" spans="6:15" s="343" customFormat="1" ht="13.5" customHeight="1">
      <c r="F121" s="925"/>
      <c r="G121" s="925"/>
      <c r="H121" s="925"/>
      <c r="I121" s="925"/>
      <c r="J121" s="925"/>
      <c r="K121" s="925"/>
      <c r="L121" s="925"/>
      <c r="M121" s="925"/>
      <c r="N121" s="925"/>
      <c r="O121" s="925"/>
    </row>
    <row r="122" spans="1:15" s="421" customFormat="1" ht="34.5" customHeight="1">
      <c r="A122" s="889" t="s">
        <v>105</v>
      </c>
      <c r="B122" s="926" t="s">
        <v>106</v>
      </c>
      <c r="C122" s="889" t="s">
        <v>107</v>
      </c>
      <c r="D122" s="889" t="s">
        <v>108</v>
      </c>
      <c r="E122" s="456"/>
      <c r="F122" s="890" t="s">
        <v>210</v>
      </c>
      <c r="G122" s="890"/>
      <c r="H122" s="890"/>
      <c r="I122" s="890"/>
      <c r="J122" s="890"/>
      <c r="K122" s="899" t="s">
        <v>431</v>
      </c>
      <c r="L122" s="899"/>
      <c r="M122" s="899"/>
      <c r="N122" s="899"/>
      <c r="O122" s="899"/>
    </row>
    <row r="123" spans="1:15" s="460" customFormat="1" ht="91.5" customHeight="1">
      <c r="A123" s="889"/>
      <c r="B123" s="926"/>
      <c r="C123" s="889"/>
      <c r="D123" s="889"/>
      <c r="E123" s="350"/>
      <c r="F123" s="248" t="s">
        <v>248</v>
      </c>
      <c r="G123" s="457" t="s">
        <v>111</v>
      </c>
      <c r="H123" s="457" t="s">
        <v>254</v>
      </c>
      <c r="I123" s="457" t="s">
        <v>240</v>
      </c>
      <c r="J123" s="458" t="s">
        <v>250</v>
      </c>
      <c r="K123" s="248" t="s">
        <v>251</v>
      </c>
      <c r="L123" s="457" t="s">
        <v>111</v>
      </c>
      <c r="M123" s="457" t="s">
        <v>254</v>
      </c>
      <c r="N123" s="459" t="s">
        <v>240</v>
      </c>
      <c r="O123" s="458" t="s">
        <v>252</v>
      </c>
    </row>
    <row r="124" spans="1:15" s="464" customFormat="1" ht="15.75" customHeight="1">
      <c r="A124" s="889"/>
      <c r="B124" s="926"/>
      <c r="C124" s="889"/>
      <c r="D124" s="889"/>
      <c r="E124" s="352"/>
      <c r="F124" s="461" t="s">
        <v>253</v>
      </c>
      <c r="G124" s="461" t="s">
        <v>117</v>
      </c>
      <c r="H124" s="311" t="s">
        <v>118</v>
      </c>
      <c r="I124" s="311" t="s">
        <v>35</v>
      </c>
      <c r="J124" s="462" t="s">
        <v>244</v>
      </c>
      <c r="K124" s="463" t="s">
        <v>245</v>
      </c>
      <c r="L124" s="461" t="s">
        <v>117</v>
      </c>
      <c r="M124" s="311" t="s">
        <v>118</v>
      </c>
      <c r="N124" s="311" t="s">
        <v>35</v>
      </c>
      <c r="O124" s="462" t="s">
        <v>244</v>
      </c>
    </row>
    <row r="125" spans="1:15" s="467" customFormat="1" ht="11.25">
      <c r="A125" s="465">
        <v>1</v>
      </c>
      <c r="B125" s="225">
        <f>A125+1</f>
        <v>2</v>
      </c>
      <c r="C125" s="225">
        <f>B125+1</f>
        <v>3</v>
      </c>
      <c r="D125" s="225">
        <f>C125+1</f>
        <v>4</v>
      </c>
      <c r="E125" s="225" t="s">
        <v>178</v>
      </c>
      <c r="F125" s="466">
        <f>D125+1</f>
        <v>5</v>
      </c>
      <c r="G125" s="466">
        <f aca="true" t="shared" si="7" ref="G125:O125">F125+1</f>
        <v>6</v>
      </c>
      <c r="H125" s="465">
        <f t="shared" si="7"/>
        <v>7</v>
      </c>
      <c r="I125" s="465">
        <f t="shared" si="7"/>
        <v>8</v>
      </c>
      <c r="J125" s="426">
        <f t="shared" si="7"/>
        <v>9</v>
      </c>
      <c r="K125" s="466">
        <f t="shared" si="7"/>
        <v>10</v>
      </c>
      <c r="L125" s="466">
        <f t="shared" si="7"/>
        <v>11</v>
      </c>
      <c r="M125" s="465">
        <f t="shared" si="7"/>
        <v>12</v>
      </c>
      <c r="N125" s="465">
        <f t="shared" si="7"/>
        <v>13</v>
      </c>
      <c r="O125" s="426">
        <f t="shared" si="7"/>
        <v>14</v>
      </c>
    </row>
    <row r="126" spans="1:15" s="414" customFormat="1" ht="12.75">
      <c r="A126" s="468">
        <v>1</v>
      </c>
      <c r="B126" s="468"/>
      <c r="C126" s="468"/>
      <c r="D126" s="468"/>
      <c r="E126" s="468"/>
      <c r="F126" s="469"/>
      <c r="G126" s="468">
        <v>4</v>
      </c>
      <c r="H126" s="814"/>
      <c r="I126" s="471"/>
      <c r="J126" s="430">
        <f>ROUND(F126*G126/1000,5)</f>
        <v>0</v>
      </c>
      <c r="K126" s="469">
        <f>F126</f>
        <v>0</v>
      </c>
      <c r="L126" s="468"/>
      <c r="M126" s="814"/>
      <c r="N126" s="471"/>
      <c r="O126" s="430">
        <f>ROUND(K126*L126/1000,5)</f>
        <v>0</v>
      </c>
    </row>
    <row r="127" spans="1:15" s="414" customFormat="1" ht="12.75">
      <c r="A127" s="468"/>
      <c r="B127" s="468"/>
      <c r="C127" s="468"/>
      <c r="D127" s="468"/>
      <c r="E127" s="468"/>
      <c r="F127" s="469"/>
      <c r="G127" s="468"/>
      <c r="H127" s="470"/>
      <c r="I127" s="471"/>
      <c r="J127" s="430">
        <f>ROUND(F127*G127/1000,5)</f>
        <v>0</v>
      </c>
      <c r="K127" s="469">
        <f>F127</f>
        <v>0</v>
      </c>
      <c r="L127" s="468"/>
      <c r="M127" s="470">
        <f>H127</f>
        <v>0</v>
      </c>
      <c r="N127" s="470">
        <f>I127</f>
        <v>0</v>
      </c>
      <c r="O127" s="430">
        <f>ROUND(K127*L127/1000,5)</f>
        <v>0</v>
      </c>
    </row>
    <row r="128" spans="1:15" s="473" customFormat="1" ht="12.75">
      <c r="A128" s="234"/>
      <c r="B128" s="468"/>
      <c r="C128" s="468"/>
      <c r="D128" s="468"/>
      <c r="E128" s="468"/>
      <c r="F128" s="472"/>
      <c r="G128" s="468"/>
      <c r="H128" s="287"/>
      <c r="I128" s="471"/>
      <c r="J128" s="430">
        <f>ROUND(F128*G128/1000,5)</f>
        <v>0</v>
      </c>
      <c r="K128" s="472"/>
      <c r="L128" s="468"/>
      <c r="M128" s="470"/>
      <c r="N128" s="468"/>
      <c r="O128" s="430">
        <f>ROUND(K128*L128/1000,5)</f>
        <v>0</v>
      </c>
    </row>
    <row r="129" spans="1:15" s="473" customFormat="1" ht="12.75">
      <c r="A129" s="234"/>
      <c r="B129" s="474"/>
      <c r="C129" s="475"/>
      <c r="D129" s="468"/>
      <c r="E129" s="468"/>
      <c r="F129" s="472"/>
      <c r="G129" s="468"/>
      <c r="H129" s="287"/>
      <c r="I129" s="471"/>
      <c r="J129" s="430"/>
      <c r="K129" s="472"/>
      <c r="L129" s="468"/>
      <c r="M129" s="470"/>
      <c r="N129" s="468"/>
      <c r="O129" s="430"/>
    </row>
    <row r="130" spans="1:15" s="348" customFormat="1" ht="25.5" customHeight="1">
      <c r="A130" s="476"/>
      <c r="B130" s="923" t="s">
        <v>246</v>
      </c>
      <c r="C130" s="923"/>
      <c r="D130" s="477">
        <f>SUM(D126:D128)</f>
        <v>0</v>
      </c>
      <c r="E130" s="477"/>
      <c r="F130" s="253" t="e">
        <f>ROUND(J130/I130/G130*1000,5)</f>
        <v>#DIV/0!</v>
      </c>
      <c r="G130" s="478">
        <v>4</v>
      </c>
      <c r="H130" s="479">
        <f>SUM(H126:H128)</f>
        <v>0</v>
      </c>
      <c r="I130" s="480">
        <f>SUM(I126:I128)</f>
        <v>0</v>
      </c>
      <c r="J130" s="481">
        <f>SUM(J126:J128)</f>
        <v>0</v>
      </c>
      <c r="K130" s="253" t="e">
        <f>ROUND(O130/N130/L130*1000,5)</f>
        <v>#DIV/0!</v>
      </c>
      <c r="L130" s="478">
        <v>4</v>
      </c>
      <c r="M130" s="479">
        <f>SUM(M126:M128)</f>
        <v>0</v>
      </c>
      <c r="N130" s="480">
        <f>SUM(N126:N128)</f>
        <v>0</v>
      </c>
      <c r="O130" s="481">
        <f>SUM(O126:O128)</f>
        <v>0</v>
      </c>
    </row>
    <row r="131" spans="1:15" s="348" customFormat="1" ht="14.25" customHeight="1">
      <c r="A131" s="193"/>
      <c r="B131" s="361"/>
      <c r="C131" s="361"/>
      <c r="D131" s="361"/>
      <c r="E131" s="361"/>
      <c r="F131" s="261"/>
      <c r="G131" s="485"/>
      <c r="H131" s="486"/>
      <c r="I131" s="487"/>
      <c r="J131" s="488"/>
      <c r="K131" s="261"/>
      <c r="L131" s="485"/>
      <c r="M131" s="486"/>
      <c r="N131" s="487"/>
      <c r="O131" s="488"/>
    </row>
    <row r="132" spans="1:7" s="460" customFormat="1" ht="15.75">
      <c r="A132" s="489"/>
      <c r="B132" s="206"/>
      <c r="C132" s="206"/>
      <c r="D132" s="206"/>
      <c r="E132" s="206"/>
      <c r="F132" s="206"/>
      <c r="G132" s="206"/>
    </row>
    <row r="133" spans="2:6" s="208" customFormat="1" ht="18.75">
      <c r="B133" s="802" t="s">
        <v>422</v>
      </c>
      <c r="C133" s="803"/>
      <c r="D133" s="803" t="s">
        <v>423</v>
      </c>
      <c r="E133" s="809"/>
      <c r="F133" s="804"/>
    </row>
    <row r="134" spans="2:6" s="208" customFormat="1" ht="18.75">
      <c r="B134" s="802"/>
      <c r="C134" s="802"/>
      <c r="D134" s="802"/>
      <c r="E134" s="802"/>
      <c r="F134" s="804" t="s">
        <v>97</v>
      </c>
    </row>
    <row r="135" spans="2:6" s="208" customFormat="1" ht="18.75">
      <c r="B135" s="802" t="s">
        <v>98</v>
      </c>
      <c r="C135" s="803" t="s">
        <v>424</v>
      </c>
      <c r="D135" s="803"/>
      <c r="E135" s="803"/>
      <c r="F135" s="804"/>
    </row>
    <row r="136" spans="2:6" s="208" customFormat="1" ht="18.75">
      <c r="B136" s="802" t="s">
        <v>421</v>
      </c>
      <c r="C136" s="808" t="s">
        <v>425</v>
      </c>
      <c r="D136" s="807"/>
      <c r="E136" s="807"/>
      <c r="F136" s="804"/>
    </row>
  </sheetData>
  <sheetProtection selectLockedCells="1" selectUnlockedCells="1"/>
  <mergeCells count="82">
    <mergeCell ref="A9:A11"/>
    <mergeCell ref="B9:B11"/>
    <mergeCell ref="C9:C11"/>
    <mergeCell ref="D9:D11"/>
    <mergeCell ref="A26:A28"/>
    <mergeCell ref="B26:B28"/>
    <mergeCell ref="C26:C28"/>
    <mergeCell ref="D26:D28"/>
    <mergeCell ref="B2:O2"/>
    <mergeCell ref="B3:O3"/>
    <mergeCell ref="B5:C5"/>
    <mergeCell ref="B7:N7"/>
    <mergeCell ref="F8:O8"/>
    <mergeCell ref="E9:E10"/>
    <mergeCell ref="F25:O25"/>
    <mergeCell ref="F9:J9"/>
    <mergeCell ref="K9:O9"/>
    <mergeCell ref="B34:C34"/>
    <mergeCell ref="F26:J26"/>
    <mergeCell ref="K26:O26"/>
    <mergeCell ref="E13:E15"/>
    <mergeCell ref="B21:C21"/>
    <mergeCell ref="B37:C37"/>
    <mergeCell ref="B39:N39"/>
    <mergeCell ref="F40:O40"/>
    <mergeCell ref="A41:A43"/>
    <mergeCell ref="B41:B43"/>
    <mergeCell ref="C41:C43"/>
    <mergeCell ref="D41:D43"/>
    <mergeCell ref="E41:E42"/>
    <mergeCell ref="F41:J41"/>
    <mergeCell ref="K41:O41"/>
    <mergeCell ref="A58:A60"/>
    <mergeCell ref="B58:B60"/>
    <mergeCell ref="C58:C60"/>
    <mergeCell ref="D58:D60"/>
    <mergeCell ref="F58:J58"/>
    <mergeCell ref="K58:O58"/>
    <mergeCell ref="B66:C66"/>
    <mergeCell ref="B69:C69"/>
    <mergeCell ref="B71:N71"/>
    <mergeCell ref="F72:O72"/>
    <mergeCell ref="E45:E47"/>
    <mergeCell ref="B53:C53"/>
    <mergeCell ref="F57:O57"/>
    <mergeCell ref="E73:E74"/>
    <mergeCell ref="F73:J73"/>
    <mergeCell ref="K73:O73"/>
    <mergeCell ref="E77:E79"/>
    <mergeCell ref="A73:A75"/>
    <mergeCell ref="B73:B75"/>
    <mergeCell ref="C73:C75"/>
    <mergeCell ref="D73:D75"/>
    <mergeCell ref="A90:A92"/>
    <mergeCell ref="B90:B92"/>
    <mergeCell ref="C90:C92"/>
    <mergeCell ref="D90:D92"/>
    <mergeCell ref="F90:J90"/>
    <mergeCell ref="K90:O90"/>
    <mergeCell ref="B98:C98"/>
    <mergeCell ref="B101:C101"/>
    <mergeCell ref="B103:N103"/>
    <mergeCell ref="F104:O104"/>
    <mergeCell ref="B85:C85"/>
    <mergeCell ref="F89:O89"/>
    <mergeCell ref="E105:E106"/>
    <mergeCell ref="F105:J105"/>
    <mergeCell ref="K105:O105"/>
    <mergeCell ref="E109:E111"/>
    <mergeCell ref="A105:A107"/>
    <mergeCell ref="B105:B107"/>
    <mergeCell ref="C105:C107"/>
    <mergeCell ref="D105:D107"/>
    <mergeCell ref="B130:C130"/>
    <mergeCell ref="B117:C117"/>
    <mergeCell ref="F121:O121"/>
    <mergeCell ref="A122:A124"/>
    <mergeCell ref="B122:B124"/>
    <mergeCell ref="C122:C124"/>
    <mergeCell ref="D122:D124"/>
    <mergeCell ref="F122:J122"/>
    <mergeCell ref="K122:O122"/>
  </mergeCells>
  <printOptions horizontalCentered="1"/>
  <pageMargins left="0.19652777777777777" right="0.19652777777777777" top="0.5902777777777778" bottom="0.19652777777777777" header="0.5118055555555555" footer="0.5118055555555555"/>
  <pageSetup horizontalDpi="300" verticalDpi="300" orientation="landscape" paperSize="9" scale="45" r:id="rId1"/>
  <rowBreaks count="3" manualBreakCount="3">
    <brk id="35" max="255" man="1"/>
    <brk id="67" max="14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cp:lastPrinted>2018-02-21T05:59:54Z</cp:lastPrinted>
  <dcterms:modified xsi:type="dcterms:W3CDTF">2018-03-02T01:50:28Z</dcterms:modified>
  <cp:category/>
  <cp:version/>
  <cp:contentType/>
  <cp:contentStatus/>
</cp:coreProperties>
</file>